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 tabRatio="770" activeTab="3"/>
  </bookViews>
  <sheets>
    <sheet name="22015риц" sheetId="1" r:id="rId1"/>
    <sheet name="2015" sheetId="4" r:id="rId2"/>
    <sheet name="2015 общ" sheetId="5" r:id="rId3"/>
    <sheet name="2018" sheetId="8" r:id="rId4"/>
    <sheet name="Лист2" sheetId="2" r:id="rId5"/>
  </sheets>
  <externalReferences>
    <externalReference r:id="rId6"/>
  </externalReferences>
  <definedNames>
    <definedName name="_xlnm.Print_Area" localSheetId="3">'2018'!$A$1:$H$50</definedName>
  </definedNames>
  <calcPr calcId="162913"/>
</workbook>
</file>

<file path=xl/calcChain.xml><?xml version="1.0" encoding="utf-8"?>
<calcChain xmlns="http://schemas.openxmlformats.org/spreadsheetml/2006/main">
  <c r="H31" i="8" l="1"/>
  <c r="E42" i="8" l="1"/>
  <c r="F37" i="8" l="1"/>
  <c r="E26" i="8" l="1"/>
  <c r="E36" i="8" l="1"/>
  <c r="F36" i="8"/>
  <c r="F27" i="8"/>
  <c r="E27" i="8"/>
  <c r="E28" i="8"/>
  <c r="E29" i="8"/>
  <c r="E30" i="8" l="1"/>
  <c r="E37" i="8"/>
  <c r="E35" i="8"/>
  <c r="E34" i="8"/>
  <c r="L31" i="8"/>
  <c r="J31" i="8"/>
  <c r="M30" i="8"/>
  <c r="M31" i="8" s="1"/>
  <c r="K30" i="8"/>
  <c r="K31" i="8" s="1"/>
  <c r="B26" i="8"/>
  <c r="D31" i="8" l="1"/>
  <c r="C31" i="8"/>
  <c r="C38" i="8"/>
  <c r="E38" i="8"/>
  <c r="E31" i="8"/>
  <c r="D38" i="8"/>
  <c r="N30" i="8"/>
  <c r="B47" i="8" s="1"/>
  <c r="C47" i="8" s="1"/>
  <c r="D47" i="8" s="1"/>
  <c r="E47" i="8" s="1"/>
  <c r="F47" i="8" s="1"/>
  <c r="F42" i="8" l="1"/>
  <c r="N39" i="5"/>
  <c r="Y43" i="4" l="1"/>
  <c r="Y44" i="4" s="1"/>
  <c r="W43" i="4"/>
  <c r="U43" i="4"/>
  <c r="K44" i="4"/>
  <c r="C37" i="4" s="1"/>
  <c r="U42" i="4" l="1"/>
  <c r="V40" i="4"/>
  <c r="T42" i="4"/>
  <c r="V41" i="4"/>
  <c r="U41" i="4"/>
  <c r="T41" i="4"/>
  <c r="U40" i="4"/>
  <c r="T40" i="4"/>
  <c r="V39" i="4"/>
  <c r="U39" i="4"/>
  <c r="T39" i="4"/>
  <c r="T38" i="4"/>
  <c r="U38" i="4"/>
  <c r="W37" i="4"/>
  <c r="V37" i="4"/>
  <c r="U37" i="4"/>
  <c r="T37" i="4"/>
  <c r="U36" i="4" l="1"/>
  <c r="T36" i="4"/>
  <c r="T35" i="4"/>
  <c r="V35" i="4"/>
  <c r="V44" i="4" s="1"/>
  <c r="B46" i="4" s="1"/>
  <c r="U35" i="4"/>
  <c r="U34" i="4"/>
  <c r="T34" i="4"/>
  <c r="T33" i="4"/>
  <c r="K46" i="4"/>
  <c r="J46" i="4"/>
  <c r="C47" i="4"/>
  <c r="W44" i="4"/>
  <c r="C46" i="4" s="1"/>
  <c r="S44" i="4"/>
  <c r="Q44" i="4"/>
  <c r="C40" i="4" s="1"/>
  <c r="O44" i="4"/>
  <c r="C39" i="4" s="1"/>
  <c r="N44" i="4"/>
  <c r="B39" i="4" s="1"/>
  <c r="M44" i="4"/>
  <c r="C38" i="4" s="1"/>
  <c r="L44" i="4"/>
  <c r="B38" i="4" s="1"/>
  <c r="J44" i="4"/>
  <c r="B37" i="4" s="1"/>
  <c r="X44" i="4"/>
  <c r="B47" i="4" s="1"/>
  <c r="B46" i="5" s="1"/>
  <c r="P44" i="4"/>
  <c r="B40" i="4" s="1"/>
  <c r="R44" i="4"/>
  <c r="T44" i="4" l="1"/>
  <c r="B45" i="4" s="1"/>
  <c r="B48" i="4" s="1"/>
  <c r="U44" i="4"/>
  <c r="C45" i="4" s="1"/>
  <c r="J47" i="4"/>
  <c r="J48" i="4" s="1"/>
  <c r="K47" i="4"/>
  <c r="C46" i="5"/>
  <c r="D46" i="5" s="1"/>
  <c r="A47" i="5"/>
  <c r="A40" i="5"/>
  <c r="C48" i="4" l="1"/>
  <c r="C45" i="1"/>
  <c r="C44" i="5" s="1"/>
  <c r="B45" i="1"/>
  <c r="C46" i="1"/>
  <c r="C45" i="5" s="1"/>
  <c r="D45" i="5" s="1"/>
  <c r="B46" i="1"/>
  <c r="B45" i="5" s="1"/>
  <c r="C40" i="1"/>
  <c r="C39" i="5" s="1"/>
  <c r="C39" i="1"/>
  <c r="C38" i="5" s="1"/>
  <c r="B40" i="1"/>
  <c r="B39" i="5" s="1"/>
  <c r="E39" i="5" s="1"/>
  <c r="F30" i="8" s="1"/>
  <c r="B39" i="1"/>
  <c r="B38" i="5" s="1"/>
  <c r="E38" i="5" s="1"/>
  <c r="F29" i="8" s="1"/>
  <c r="C47" i="5" l="1"/>
  <c r="D44" i="5"/>
  <c r="D47" i="5" s="1"/>
  <c r="B44" i="5"/>
  <c r="B48" i="1"/>
  <c r="E45" i="5"/>
  <c r="F35" i="8" s="1"/>
  <c r="C48" i="1"/>
  <c r="D38" i="5"/>
  <c r="C38" i="1"/>
  <c r="C37" i="5" s="1"/>
  <c r="B38" i="1"/>
  <c r="B37" i="5" s="1"/>
  <c r="C37" i="1"/>
  <c r="C36" i="5" s="1"/>
  <c r="C40" i="5" s="1"/>
  <c r="B37" i="1"/>
  <c r="B36" i="5" l="1"/>
  <c r="B41" i="1"/>
  <c r="D37" i="5"/>
  <c r="E37" i="5"/>
  <c r="F28" i="8" s="1"/>
  <c r="E44" i="5"/>
  <c r="B47" i="5"/>
  <c r="A45" i="1"/>
  <c r="A46" i="1"/>
  <c r="A37" i="1"/>
  <c r="E47" i="5" l="1"/>
  <c r="D36" i="5"/>
  <c r="D40" i="5" s="1"/>
  <c r="B40" i="5"/>
  <c r="G40" i="5" s="1"/>
  <c r="E36" i="5"/>
  <c r="A48" i="4"/>
  <c r="D47" i="4"/>
  <c r="E46" i="4"/>
  <c r="D46" i="4"/>
  <c r="D45" i="4"/>
  <c r="E45" i="4"/>
  <c r="B41" i="4"/>
  <c r="A41" i="4"/>
  <c r="E40" i="4"/>
  <c r="E39" i="4"/>
  <c r="D39" i="4"/>
  <c r="E38" i="4"/>
  <c r="D38" i="4"/>
  <c r="C41" i="4"/>
  <c r="D37" i="4"/>
  <c r="E40" i="5" l="1"/>
  <c r="D48" i="4"/>
  <c r="E48" i="4"/>
  <c r="D41" i="4"/>
  <c r="E37" i="4"/>
  <c r="E41" i="4" s="1"/>
  <c r="D47" i="1"/>
  <c r="E45" i="1" l="1"/>
  <c r="E46" i="1"/>
  <c r="E40" i="1"/>
  <c r="E39" i="1"/>
  <c r="E38" i="1"/>
  <c r="E37" i="1"/>
  <c r="F26" i="8" l="1"/>
  <c r="F34" i="8"/>
  <c r="F38" i="8" s="1"/>
  <c r="A38" i="8"/>
  <c r="E48" i="1"/>
  <c r="A48" i="1"/>
  <c r="D46" i="1"/>
  <c r="A41" i="1"/>
  <c r="D39" i="1"/>
  <c r="D38" i="1"/>
  <c r="D37" i="1"/>
  <c r="A31" i="8" l="1"/>
  <c r="F31" i="8"/>
  <c r="D41" i="1"/>
  <c r="C41" i="1"/>
  <c r="E41" i="1"/>
  <c r="D45" i="1"/>
  <c r="D48" i="1" s="1"/>
</calcChain>
</file>

<file path=xl/sharedStrings.xml><?xml version="1.0" encoding="utf-8"?>
<sst xmlns="http://schemas.openxmlformats.org/spreadsheetml/2006/main" count="267" uniqueCount="99">
  <si>
    <t>год постройки</t>
  </si>
  <si>
    <t>этажность</t>
  </si>
  <si>
    <t>кол- во квартир</t>
  </si>
  <si>
    <t>площадь жилых помещений</t>
  </si>
  <si>
    <t>площадь нежилых помещений</t>
  </si>
  <si>
    <t>уровень благоустройства</t>
  </si>
  <si>
    <t>серия и тип постройки</t>
  </si>
  <si>
    <t>кадастровый номер</t>
  </si>
  <si>
    <t>S земельного участка (входящего в состав общего имущества в многоквартирном доме)</t>
  </si>
  <si>
    <t>дом с центральным отоплением через теплообменники. ГВС готовится в ИТП дома. Водоснабжение и водоотведение центральное.</t>
  </si>
  <si>
    <t>-</t>
  </si>
  <si>
    <t>дом со всеми видами благоустройства, с лифтами, системами дымоудаления и мусоропроводами</t>
  </si>
  <si>
    <t>информация об использовании общего имущества в многоквартирном доме</t>
  </si>
  <si>
    <t>конструктивные и технические параметры</t>
  </si>
  <si>
    <t>оборудование Центртелеком</t>
  </si>
  <si>
    <t>площадь всех помещений общего пользования</t>
  </si>
  <si>
    <t>системы инжинерно- технического обеспечения</t>
  </si>
  <si>
    <t>Общая информация</t>
  </si>
  <si>
    <t>Использование общего имущества</t>
  </si>
  <si>
    <t>Фомушина 10 корпус 1</t>
  </si>
  <si>
    <t>СПТ</t>
  </si>
  <si>
    <t>панельный 2-х подъездный дом</t>
  </si>
  <si>
    <t>ОТЧЕТ УПРАВЛЯЮЩЕЙ ОРГАНИЗАЦИИ</t>
  </si>
  <si>
    <t>ООО "Управляющая компания "Правград"</t>
  </si>
  <si>
    <t>1. Общие сведения о многоквартирном доме</t>
  </si>
  <si>
    <t>2. Отчет по затратам на содержание, ремонт общего имущества в многоквартирном доме и коммунальные услуги за отчетный период</t>
  </si>
  <si>
    <t>Перечислено поставщикам услуги</t>
  </si>
  <si>
    <t>Виды услуг</t>
  </si>
  <si>
    <t>Содержание общего имущества</t>
  </si>
  <si>
    <t>Содержание лифтов</t>
  </si>
  <si>
    <t>Сбор и вывоз твердых бытовых отходов от контейнеров( с учетом КГО)</t>
  </si>
  <si>
    <t>Текущий ремонт общего имущества</t>
  </si>
  <si>
    <t>Итого</t>
  </si>
  <si>
    <t>Коммунальные услуги:</t>
  </si>
  <si>
    <t>Коммунальные услуги, в том числе:</t>
  </si>
  <si>
    <t>Водоснабжение и водоотведение</t>
  </si>
  <si>
    <t>Водоснабжение и водоотведение ГВС</t>
  </si>
  <si>
    <r>
      <t xml:space="preserve">Адрес многоквартирного дома </t>
    </r>
    <r>
      <rPr>
        <u/>
        <sz val="8"/>
        <color theme="1"/>
        <rFont val="Times New Roman"/>
        <family val="1"/>
        <charset val="204"/>
      </rPr>
      <t>г.Калуга, ул. Фомушина  д. 10 корпус 1</t>
    </r>
  </si>
  <si>
    <r>
      <t xml:space="preserve">Общая площадь площадь жилых помещений  </t>
    </r>
    <r>
      <rPr>
        <u/>
        <sz val="8"/>
        <color theme="1"/>
        <rFont val="Times New Roman"/>
        <family val="1"/>
        <charset val="204"/>
      </rPr>
      <t xml:space="preserve">5 379,4   </t>
    </r>
    <r>
      <rPr>
        <sz val="8"/>
        <color theme="1"/>
        <rFont val="Times New Roman"/>
        <family val="1"/>
        <charset val="204"/>
      </rPr>
      <t xml:space="preserve"> </t>
    </r>
  </si>
  <si>
    <r>
      <t xml:space="preserve">Число квартир  </t>
    </r>
    <r>
      <rPr>
        <u/>
        <sz val="8"/>
        <color theme="1"/>
        <rFont val="Times New Roman"/>
        <family val="1"/>
        <charset val="204"/>
      </rPr>
      <t>104</t>
    </r>
  </si>
  <si>
    <r>
      <t>Год постройки</t>
    </r>
    <r>
      <rPr>
        <u/>
        <sz val="8"/>
        <color theme="1"/>
        <rFont val="Times New Roman"/>
        <family val="1"/>
        <charset val="204"/>
      </rPr>
      <t xml:space="preserve">  2010</t>
    </r>
  </si>
  <si>
    <t>Протоколы общего собрания за 2015 год.</t>
  </si>
  <si>
    <r>
      <t>ПЕРЕД СОБСТВЕННИКАМИ ПОМЕЩЕНИЙ О ВЫПОЛНЕНИИ ДОГОВОРА УПРАВЛЕНИЯ №01-30/23-13 от 01.11.2013г.
  за период</t>
    </r>
    <r>
      <rPr>
        <b/>
        <u/>
        <sz val="10"/>
        <rFont val="Times New Roman"/>
        <family val="1"/>
        <charset val="204"/>
      </rPr>
      <t xml:space="preserve"> 2015 год.</t>
    </r>
  </si>
  <si>
    <t>Начислено в 2015, руб</t>
  </si>
  <si>
    <t>Поступило средств в 2015г., руб</t>
  </si>
  <si>
    <t>Электроэнергия (в том числе освещение мест общего пользования)</t>
  </si>
  <si>
    <t>есть ли гор вода</t>
  </si>
  <si>
    <t>Задолженность собственников и нанимателей на 01.01.2016г., руб</t>
  </si>
  <si>
    <t xml:space="preserve">Сумма задолженности начселения на 01.01.2015г., руб </t>
  </si>
  <si>
    <t>Водоснабжение и водоотведение для ГВС</t>
  </si>
  <si>
    <t>сод.</t>
  </si>
  <si>
    <t>лифт</t>
  </si>
  <si>
    <t>ТБО</t>
  </si>
  <si>
    <t>Тек рем</t>
  </si>
  <si>
    <t>Обсл ОПУ</t>
  </si>
  <si>
    <t>ХВС</t>
  </si>
  <si>
    <t>гвс</t>
  </si>
  <si>
    <t>элект-я</t>
  </si>
  <si>
    <t>опл дек в январе</t>
  </si>
  <si>
    <t>Содержание общего имущества, в т.ч. обслуж. ИТП</t>
  </si>
  <si>
    <t>оборудование МТС+ МАКСНЕТ+РОСТЕЛЕКОМ</t>
  </si>
  <si>
    <t>Текущий ремонт общего имущества, в т.ч. оплата от провайдеров</t>
  </si>
  <si>
    <t>мтс</t>
  </si>
  <si>
    <t>макснет</t>
  </si>
  <si>
    <t>вымпелком</t>
  </si>
  <si>
    <t>электрокроком</t>
  </si>
  <si>
    <t>всего</t>
  </si>
  <si>
    <t>Тарифы</t>
  </si>
  <si>
    <t>№ п/п</t>
  </si>
  <si>
    <t>Виды услуг работ</t>
  </si>
  <si>
    <t xml:space="preserve"> Обслуж. ИТП</t>
  </si>
  <si>
    <t>Начислено в 2016, руб</t>
  </si>
  <si>
    <t>Поступило средств в 2016г., руб</t>
  </si>
  <si>
    <r>
      <t xml:space="preserve">Общая площадь площадь жилых и нежилых помещений </t>
    </r>
    <r>
      <rPr>
        <sz val="8"/>
        <color rgb="FFFF0000"/>
        <rFont val="Times New Roman"/>
        <family val="1"/>
        <charset val="204"/>
      </rPr>
      <t/>
    </r>
  </si>
  <si>
    <t>Текущий ремонт</t>
  </si>
  <si>
    <t>Провайдеры:</t>
  </si>
  <si>
    <t>Ростелеком</t>
  </si>
  <si>
    <t>ЦО</t>
  </si>
  <si>
    <t>Замена КВШ и канатов на лифтах п.2</t>
  </si>
  <si>
    <r>
      <t xml:space="preserve">Адрес многоквартирного дома </t>
    </r>
    <r>
      <rPr>
        <u/>
        <sz val="11"/>
        <color theme="1"/>
        <rFont val="Times New Roman"/>
        <family val="1"/>
        <charset val="204"/>
      </rPr>
      <t>г.Калуга, ул. Фомушина  д. 10 корпус 1</t>
    </r>
  </si>
  <si>
    <r>
      <t xml:space="preserve">Число квартир  </t>
    </r>
    <r>
      <rPr>
        <u/>
        <sz val="11"/>
        <color theme="1"/>
        <rFont val="Times New Roman"/>
        <family val="1"/>
        <charset val="204"/>
      </rPr>
      <t>104</t>
    </r>
  </si>
  <si>
    <r>
      <t>Год постройки</t>
    </r>
    <r>
      <rPr>
        <u/>
        <sz val="11"/>
        <color theme="1"/>
        <rFont val="Times New Roman"/>
        <family val="1"/>
        <charset val="204"/>
      </rPr>
      <t xml:space="preserve">  2010</t>
    </r>
  </si>
  <si>
    <t>Сбор и вывоз твердых бытовых отходов от контейнеров</t>
  </si>
  <si>
    <t>Электроэнергия (в том числе освещение МОП)</t>
  </si>
  <si>
    <t>Стоимость работ, руб</t>
  </si>
  <si>
    <t>ПЕРЕД СОБСТВЕННИКАМИ ПОМЕЩЕНИЙ О ВЫПОЛНЕНИИ ДОГОВОРА УПРАВЛЕНИЯ №01-30/23-13 от 01.11.2013г., за 2018г.</t>
  </si>
  <si>
    <t xml:space="preserve">Сумма задолженности начселения на 01.01.2018г., руб </t>
  </si>
  <si>
    <t>Начислено в 2018, руб</t>
  </si>
  <si>
    <t>Поступило средств в 2018г., руб</t>
  </si>
  <si>
    <t>Задолженность собственников и нанимателей на 01.01.2019г., руб</t>
  </si>
  <si>
    <t>Остаток по тек. ремонту, на январь 2018 руб.</t>
  </si>
  <si>
    <t>Итого остаток по тек. ремонту, на январь 2019руб.</t>
  </si>
  <si>
    <t>Замена счетчика хол.воды турбин Ду 65</t>
  </si>
  <si>
    <t>Поступило средств в 2017г., руб</t>
  </si>
  <si>
    <t>ИТОГО</t>
  </si>
  <si>
    <t>Работы по ст. "Содержание" выполняются ежемесячно по подрядным договорам, актам аварийности и актам выполненных работ с подрядными организациями: в т.ч. обслуживание газопроводов ОАО «Калугаоблгаз», обслуживание газоходов, вентканалов в ООО «ЖилСпецРСУ», квитанции за ЖКУ расчетный центр ООО «ЕИРЦ №1», содержание ОИ эл/эн ПАО "Калужская Сбытовая Компания", т.д., или собствеными силами специалистов управляющей компании.ТБО - Спецавтохозяйство", обслуживание и текущий ремонт лифтов: договор на тех.обслуживание с ОАО «Калугалифтремстрой», договор по периодическому тех. освидетельствованию с ОАО «Калугалифт», страхование лифтов-КФ АО "Альфастрахование". С технической документацией Вы можете ознакомиться в офисе УК по адресу: ул. Генерала Попова д. 10 корп. 2 оф. 95</t>
  </si>
  <si>
    <t>В целях контроля отчет предоставлен__________________/________________ "___"____________  _______года</t>
  </si>
  <si>
    <t>ВНИМАНИЕ: Общий долг жителей Вашего дома за жилищно-коммунальные услуги равен 2973632,26 руб.</t>
  </si>
  <si>
    <t>Услуги экскаватора-погрузчика 17.01.2019; 31.01.2019-2,5час; 06.01.2019-2час; 25.12.2018-0,5час; 06.12.2018-0,58час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</si>
</sst>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3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8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9" fontId="9" fillId="0" borderId="0" applyFont="0" applyFill="0" applyBorder="0" applyAlignment="0" applyProtection="0"/>
    <xf numFmtId="0" fontId="17" fillId="0" borderId="0"/>
  </cellStyleXfs>
  <cellXfs count="17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/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Alignment="1"/>
    <xf numFmtId="0" fontId="6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2" fontId="2" fillId="0" borderId="1" xfId="0" applyNumberFormat="1" applyFont="1" applyFill="1" applyBorder="1"/>
    <xf numFmtId="2" fontId="2" fillId="0" borderId="1" xfId="0" applyNumberFormat="1" applyFont="1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4" fillId="0" borderId="0" xfId="0" applyFont="1" applyBorder="1"/>
    <xf numFmtId="2" fontId="4" fillId="0" borderId="0" xfId="0" applyNumberFormat="1" applyFont="1" applyBorder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2" fontId="2" fillId="2" borderId="1" xfId="0" applyNumberFormat="1" applyFont="1" applyFill="1" applyBorder="1"/>
    <xf numFmtId="0" fontId="2" fillId="0" borderId="1" xfId="1" applyFont="1" applyBorder="1" applyAlignment="1">
      <alignment wrapText="1"/>
    </xf>
    <xf numFmtId="0" fontId="10" fillId="2" borderId="0" xfId="0" applyFont="1" applyFill="1" applyAlignment="1">
      <alignment wrapText="1"/>
    </xf>
    <xf numFmtId="2" fontId="0" fillId="0" borderId="0" xfId="0" applyNumberForma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2" fontId="2" fillId="3" borderId="1" xfId="0" applyNumberFormat="1" applyFont="1" applyFill="1" applyBorder="1"/>
    <xf numFmtId="0" fontId="10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0" fontId="0" fillId="0" borderId="1" xfId="0" applyBorder="1" applyAlignment="1">
      <alignment wrapText="1"/>
    </xf>
    <xf numFmtId="17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0" fillId="2" borderId="1" xfId="0" applyFill="1" applyBorder="1" applyAlignment="1">
      <alignment wrapText="1"/>
    </xf>
    <xf numFmtId="2" fontId="0" fillId="3" borderId="1" xfId="0" applyNumberFormat="1" applyFill="1" applyBorder="1" applyAlignment="1">
      <alignment wrapText="1"/>
    </xf>
    <xf numFmtId="0" fontId="14" fillId="3" borderId="0" xfId="0" applyFont="1" applyFill="1" applyAlignment="1">
      <alignment wrapText="1"/>
    </xf>
    <xf numFmtId="0" fontId="0" fillId="3" borderId="1" xfId="0" applyFill="1" applyBorder="1" applyAlignment="1">
      <alignment wrapText="1"/>
    </xf>
    <xf numFmtId="0" fontId="14" fillId="0" borderId="1" xfId="0" applyFont="1" applyBorder="1" applyAlignment="1">
      <alignment wrapText="1"/>
    </xf>
    <xf numFmtId="17" fontId="0" fillId="5" borderId="1" xfId="0" applyNumberFormat="1" applyFill="1" applyBorder="1" applyAlignment="1">
      <alignment wrapText="1"/>
    </xf>
    <xf numFmtId="2" fontId="0" fillId="6" borderId="1" xfId="0" applyNumberFormat="1" applyFill="1" applyBorder="1" applyAlignment="1">
      <alignment wrapText="1"/>
    </xf>
    <xf numFmtId="0" fontId="0" fillId="6" borderId="1" xfId="0" applyFill="1" applyBorder="1" applyAlignment="1">
      <alignment wrapText="1"/>
    </xf>
    <xf numFmtId="17" fontId="0" fillId="0" borderId="1" xfId="0" applyNumberForma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4" fillId="0" borderId="0" xfId="0" applyFont="1" applyAlignment="1">
      <alignment wrapText="1"/>
    </xf>
    <xf numFmtId="0" fontId="14" fillId="4" borderId="1" xfId="0" applyFont="1" applyFill="1" applyBorder="1" applyAlignment="1">
      <alignment vertical="center" wrapText="1"/>
    </xf>
    <xf numFmtId="2" fontId="13" fillId="0" borderId="1" xfId="0" applyNumberFormat="1" applyFont="1" applyBorder="1" applyAlignment="1">
      <alignment wrapText="1"/>
    </xf>
    <xf numFmtId="0" fontId="0" fillId="2" borderId="0" xfId="0" applyFill="1" applyAlignment="1">
      <alignment wrapText="1"/>
    </xf>
    <xf numFmtId="164" fontId="0" fillId="0" borderId="0" xfId="2" applyNumberFormat="1" applyFont="1" applyAlignment="1">
      <alignment wrapText="1"/>
    </xf>
    <xf numFmtId="0" fontId="16" fillId="0" borderId="1" xfId="1" applyFont="1" applyBorder="1" applyAlignment="1">
      <alignment wrapText="1"/>
    </xf>
    <xf numFmtId="0" fontId="14" fillId="0" borderId="1" xfId="1" applyFont="1" applyBorder="1" applyAlignment="1">
      <alignment wrapText="1"/>
    </xf>
    <xf numFmtId="0" fontId="0" fillId="0" borderId="0" xfId="0" applyAlignment="1">
      <alignment wrapText="1"/>
    </xf>
    <xf numFmtId="0" fontId="11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23" fillId="0" borderId="0" xfId="0" applyFont="1"/>
    <xf numFmtId="0" fontId="20" fillId="0" borderId="0" xfId="0" applyFont="1" applyBorder="1" applyAlignment="1">
      <alignment horizontal="center" vertical="center" wrapText="1"/>
    </xf>
    <xf numFmtId="0" fontId="23" fillId="0" borderId="0" xfId="0" applyFont="1" applyAlignment="1"/>
    <xf numFmtId="0" fontId="22" fillId="0" borderId="0" xfId="0" applyFont="1" applyAlignment="1"/>
    <xf numFmtId="165" fontId="23" fillId="3" borderId="0" xfId="0" applyNumberFormat="1" applyFont="1" applyFill="1" applyBorder="1" applyAlignment="1">
      <alignment horizontal="left"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1" xfId="1" applyFont="1" applyBorder="1" applyAlignment="1">
      <alignment vertical="center" wrapText="1"/>
    </xf>
    <xf numFmtId="0" fontId="23" fillId="0" borderId="1" xfId="1" applyFont="1" applyBorder="1" applyAlignment="1">
      <alignment horizontal="center" vertical="center"/>
    </xf>
    <xf numFmtId="0" fontId="23" fillId="0" borderId="0" xfId="1" applyFont="1" applyAlignment="1">
      <alignment vertical="center" wrapText="1"/>
    </xf>
    <xf numFmtId="0" fontId="26" fillId="0" borderId="0" xfId="1" applyFont="1" applyAlignment="1">
      <alignment vertical="center" wrapText="1"/>
    </xf>
    <xf numFmtId="2" fontId="26" fillId="0" borderId="1" xfId="0" applyNumberFormat="1" applyFont="1" applyBorder="1" applyAlignment="1">
      <alignment horizontal="center" vertical="center"/>
    </xf>
    <xf numFmtId="2" fontId="23" fillId="0" borderId="1" xfId="0" applyNumberFormat="1" applyFont="1" applyFill="1" applyBorder="1" applyAlignment="1">
      <alignment vertical="center"/>
    </xf>
    <xf numFmtId="2" fontId="23" fillId="0" borderId="1" xfId="0" applyNumberFormat="1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2" fontId="27" fillId="2" borderId="1" xfId="0" applyNumberFormat="1" applyFont="1" applyFill="1" applyBorder="1" applyAlignment="1">
      <alignment vertical="center"/>
    </xf>
    <xf numFmtId="2" fontId="20" fillId="0" borderId="1" xfId="0" applyNumberFormat="1" applyFont="1" applyBorder="1"/>
    <xf numFmtId="0" fontId="20" fillId="0" borderId="1" xfId="0" applyFont="1" applyBorder="1" applyAlignment="1">
      <alignment wrapText="1"/>
    </xf>
    <xf numFmtId="0" fontId="23" fillId="0" borderId="1" xfId="0" applyFont="1" applyBorder="1" applyAlignment="1">
      <alignment horizontal="center" vertical="center" wrapText="1"/>
    </xf>
    <xf numFmtId="4" fontId="25" fillId="3" borderId="1" xfId="3" applyNumberFormat="1" applyFont="1" applyFill="1" applyBorder="1" applyAlignment="1">
      <alignment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4" fontId="20" fillId="3" borderId="1" xfId="3" applyNumberFormat="1" applyFont="1" applyFill="1" applyBorder="1" applyAlignment="1">
      <alignment vertical="center" wrapText="1"/>
    </xf>
    <xf numFmtId="0" fontId="28" fillId="3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wrapText="1"/>
    </xf>
    <xf numFmtId="0" fontId="25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 wrapText="1"/>
    </xf>
    <xf numFmtId="0" fontId="23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3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1" xfId="1" applyFont="1" applyBorder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23" fillId="0" borderId="1" xfId="0" applyFont="1" applyBorder="1" applyAlignment="1">
      <alignment horizontal="right" vertical="center" wrapText="1"/>
    </xf>
    <xf numFmtId="0" fontId="23" fillId="3" borderId="1" xfId="0" applyFont="1" applyFill="1" applyBorder="1" applyAlignment="1">
      <alignment horizontal="right" vertical="center" wrapText="1"/>
    </xf>
    <xf numFmtId="0" fontId="25" fillId="0" borderId="1" xfId="0" applyFont="1" applyBorder="1" applyAlignment="1">
      <alignment horizontal="right" vertical="center" wrapText="1"/>
    </xf>
    <xf numFmtId="0" fontId="25" fillId="3" borderId="1" xfId="0" applyFont="1" applyFill="1" applyBorder="1" applyAlignment="1">
      <alignment horizontal="right" vertical="center" wrapText="1"/>
    </xf>
    <xf numFmtId="0" fontId="25" fillId="3" borderId="1" xfId="0" applyFont="1" applyFill="1" applyBorder="1" applyAlignment="1">
      <alignment wrapText="1"/>
    </xf>
    <xf numFmtId="0" fontId="25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9" fillId="0" borderId="1" xfId="1" applyFont="1" applyBorder="1" applyAlignment="1">
      <alignment horizontal="center" vertical="center" wrapText="1"/>
    </xf>
    <xf numFmtId="0" fontId="29" fillId="3" borderId="1" xfId="0" applyFont="1" applyFill="1" applyBorder="1" applyAlignment="1">
      <alignment vertical="center" wrapText="1"/>
    </xf>
    <xf numFmtId="2" fontId="18" fillId="3" borderId="1" xfId="0" applyNumberFormat="1" applyFont="1" applyFill="1" applyBorder="1" applyAlignment="1">
      <alignment horizontal="center" vertical="center"/>
    </xf>
    <xf numFmtId="0" fontId="26" fillId="3" borderId="0" xfId="0" applyFont="1" applyFill="1" applyAlignment="1">
      <alignment vertical="center" wrapText="1"/>
    </xf>
    <xf numFmtId="9" fontId="23" fillId="0" borderId="0" xfId="2" applyNumberFormat="1" applyFont="1" applyAlignment="1">
      <alignment wrapText="1"/>
    </xf>
    <xf numFmtId="0" fontId="0" fillId="0" borderId="0" xfId="0" applyAlignment="1">
      <alignment wrapText="1"/>
    </xf>
    <xf numFmtId="4" fontId="29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30" fillId="3" borderId="1" xfId="0" applyFont="1" applyFill="1" applyBorder="1" applyAlignment="1">
      <alignment wrapText="1"/>
    </xf>
    <xf numFmtId="0" fontId="31" fillId="0" borderId="1" xfId="0" applyFont="1" applyBorder="1" applyAlignment="1">
      <alignment horizontal="right" vertical="center" wrapText="1"/>
    </xf>
    <xf numFmtId="0" fontId="31" fillId="0" borderId="1" xfId="0" applyFont="1" applyBorder="1" applyAlignment="1">
      <alignment wrapText="1"/>
    </xf>
    <xf numFmtId="0" fontId="31" fillId="0" borderId="1" xfId="0" applyFont="1" applyBorder="1" applyAlignment="1">
      <alignment vertical="center" wrapText="1"/>
    </xf>
    <xf numFmtId="2" fontId="2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0" xfId="0" applyFont="1" applyAlignment="1"/>
    <xf numFmtId="0" fontId="2" fillId="0" borderId="0" xfId="0" applyFont="1" applyAlignment="1"/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12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0" fillId="0" borderId="0" xfId="0" applyFont="1" applyAlignment="1"/>
    <xf numFmtId="0" fontId="23" fillId="0" borderId="0" xfId="0" applyFont="1" applyAlignment="1"/>
  </cellXfs>
  <cellStyles count="4">
    <cellStyle name="Обычный" xfId="0" builtinId="0"/>
    <cellStyle name="Обычный 2" xfId="3"/>
    <cellStyle name="Обычный 3" xfId="1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filovaSV\Desktop\&#1057;&#1074;%20&#1087;&#1086;%20&#1076;&#1086;&#1084;&#1072;&#1084;%202016%2010%2005%2016\&#1057;&#1074;&#1077;&#1076;&#1077;&#1085;&#1080;&#1103;%20&#1087;&#1086;%20&#1076;&#1086;&#1084;&#1072;&#1084;%202016\&#1060;&#1086;&#1084;&#1091;&#1096;&#1080;&#1085;&#1072;%20&#1076;%202+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риц"/>
      <sheetName val="2015 обн"/>
      <sheetName val="2015 общее"/>
      <sheetName val="Лист2"/>
      <sheetName val="Лист3"/>
    </sheetNames>
    <sheetDataSet>
      <sheetData sheetId="0" refreshError="1"/>
      <sheetData sheetId="1">
        <row r="42">
          <cell r="A42">
            <v>360587.42000000004</v>
          </cell>
          <cell r="B42">
            <v>363144.16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40" workbookViewId="0">
      <selection activeCell="C47" sqref="C47"/>
    </sheetView>
  </sheetViews>
  <sheetFormatPr defaultColWidth="9.109375" defaultRowHeight="14.4" x14ac:dyDescent="0.3"/>
  <cols>
    <col min="1" max="1" width="14.6640625" style="3" customWidth="1"/>
    <col min="2" max="2" width="17" style="1" customWidth="1"/>
    <col min="3" max="3" width="14" style="1" customWidth="1"/>
    <col min="4" max="4" width="12.6640625" style="1" customWidth="1"/>
    <col min="5" max="5" width="16.109375" style="1" customWidth="1"/>
    <col min="6" max="6" width="20.109375" style="1" customWidth="1"/>
    <col min="7" max="16384" width="9.109375" style="1"/>
  </cols>
  <sheetData>
    <row r="1" spans="1:6" ht="18" x14ac:dyDescent="0.35">
      <c r="A1" s="134" t="s">
        <v>19</v>
      </c>
      <c r="B1" s="134"/>
      <c r="C1" s="134"/>
      <c r="D1" s="134"/>
    </row>
    <row r="2" spans="1:6" ht="18" x14ac:dyDescent="0.35">
      <c r="A2" s="2"/>
      <c r="B2" s="2"/>
      <c r="C2" s="2"/>
      <c r="D2" s="2"/>
    </row>
    <row r="3" spans="1:6" ht="24" customHeight="1" x14ac:dyDescent="0.3">
      <c r="A3" s="135" t="s">
        <v>17</v>
      </c>
      <c r="B3" s="135"/>
      <c r="C3" s="135"/>
      <c r="D3" s="135"/>
      <c r="E3" s="6"/>
      <c r="F3" s="6"/>
    </row>
    <row r="4" spans="1:6" x14ac:dyDescent="0.3">
      <c r="A4" s="7">
        <v>1</v>
      </c>
      <c r="B4" s="8" t="s">
        <v>0</v>
      </c>
      <c r="C4" s="139">
        <v>2009</v>
      </c>
      <c r="D4" s="139"/>
      <c r="E4" s="6"/>
      <c r="F4" s="6"/>
    </row>
    <row r="5" spans="1:6" x14ac:dyDescent="0.3">
      <c r="A5" s="7">
        <v>2</v>
      </c>
      <c r="B5" s="8" t="s">
        <v>1</v>
      </c>
      <c r="C5" s="139">
        <v>14</v>
      </c>
      <c r="D5" s="139"/>
      <c r="E5" s="6"/>
      <c r="F5" s="6"/>
    </row>
    <row r="6" spans="1:6" x14ac:dyDescent="0.3">
      <c r="A6" s="7">
        <v>3</v>
      </c>
      <c r="B6" s="8" t="s">
        <v>2</v>
      </c>
      <c r="C6" s="139">
        <v>104</v>
      </c>
      <c r="D6" s="139"/>
      <c r="E6" s="6"/>
      <c r="F6" s="6"/>
    </row>
    <row r="7" spans="1:6" ht="21.6" x14ac:dyDescent="0.3">
      <c r="A7" s="7">
        <v>4</v>
      </c>
      <c r="B7" s="8" t="s">
        <v>3</v>
      </c>
      <c r="C7" s="139">
        <v>5379.4</v>
      </c>
      <c r="D7" s="139"/>
      <c r="E7" s="6"/>
      <c r="F7" s="6"/>
    </row>
    <row r="8" spans="1:6" ht="21.6" x14ac:dyDescent="0.3">
      <c r="A8" s="7">
        <v>5</v>
      </c>
      <c r="B8" s="8" t="s">
        <v>4</v>
      </c>
      <c r="C8" s="139">
        <v>1540.8</v>
      </c>
      <c r="D8" s="139"/>
      <c r="E8" s="6"/>
      <c r="F8" s="6"/>
    </row>
    <row r="9" spans="1:6" ht="21.6" x14ac:dyDescent="0.3">
      <c r="A9" s="7">
        <v>6</v>
      </c>
      <c r="B9" s="8" t="s">
        <v>15</v>
      </c>
      <c r="C9" s="139">
        <v>1818.6</v>
      </c>
      <c r="D9" s="139"/>
      <c r="E9" s="6"/>
      <c r="F9" s="6"/>
    </row>
    <row r="10" spans="1:6" ht="46.5" customHeight="1" x14ac:dyDescent="0.3">
      <c r="A10" s="7">
        <v>7</v>
      </c>
      <c r="B10" s="8" t="s">
        <v>5</v>
      </c>
      <c r="C10" s="140" t="s">
        <v>11</v>
      </c>
      <c r="D10" s="141"/>
      <c r="E10" s="6"/>
      <c r="F10" s="6"/>
    </row>
    <row r="11" spans="1:6" x14ac:dyDescent="0.3">
      <c r="A11" s="7">
        <v>8</v>
      </c>
      <c r="B11" s="8" t="s">
        <v>6</v>
      </c>
      <c r="C11" s="139" t="s">
        <v>20</v>
      </c>
      <c r="D11" s="139"/>
      <c r="E11" s="6"/>
      <c r="F11" s="6"/>
    </row>
    <row r="12" spans="1:6" x14ac:dyDescent="0.3">
      <c r="A12" s="7">
        <v>9</v>
      </c>
      <c r="B12" s="8" t="s">
        <v>7</v>
      </c>
      <c r="C12" s="142" t="s">
        <v>10</v>
      </c>
      <c r="D12" s="142"/>
      <c r="E12" s="6"/>
      <c r="F12" s="6"/>
    </row>
    <row r="13" spans="1:6" ht="45" customHeight="1" x14ac:dyDescent="0.3">
      <c r="A13" s="7">
        <v>10</v>
      </c>
      <c r="B13" s="8" t="s">
        <v>8</v>
      </c>
      <c r="C13" s="142" t="s">
        <v>10</v>
      </c>
      <c r="D13" s="142"/>
      <c r="E13" s="6"/>
      <c r="F13" s="6"/>
    </row>
    <row r="14" spans="1:6" ht="35.25" customHeight="1" x14ac:dyDescent="0.3">
      <c r="A14" s="7">
        <v>11</v>
      </c>
      <c r="B14" s="8" t="s">
        <v>13</v>
      </c>
      <c r="C14" s="143" t="s">
        <v>21</v>
      </c>
      <c r="D14" s="144"/>
      <c r="E14" s="6"/>
      <c r="F14" s="6"/>
    </row>
    <row r="15" spans="1:6" ht="44.25" customHeight="1" x14ac:dyDescent="0.3">
      <c r="A15" s="7">
        <v>12</v>
      </c>
      <c r="B15" s="8" t="s">
        <v>16</v>
      </c>
      <c r="C15" s="145" t="s">
        <v>9</v>
      </c>
      <c r="D15" s="146"/>
      <c r="E15" s="6"/>
      <c r="F15" s="6"/>
    </row>
    <row r="16" spans="1:6" ht="29.25" customHeight="1" x14ac:dyDescent="0.3">
      <c r="A16" s="9"/>
      <c r="B16" s="10"/>
      <c r="C16" s="10"/>
      <c r="D16" s="6"/>
      <c r="E16" s="6"/>
      <c r="F16" s="6"/>
    </row>
    <row r="17" spans="1:6" ht="22.5" customHeight="1" x14ac:dyDescent="0.3">
      <c r="A17" s="135" t="s">
        <v>18</v>
      </c>
      <c r="B17" s="135"/>
      <c r="C17" s="135"/>
      <c r="D17" s="135"/>
      <c r="E17" s="6"/>
      <c r="F17" s="6"/>
    </row>
    <row r="18" spans="1:6" ht="42" x14ac:dyDescent="0.3">
      <c r="A18" s="7">
        <v>1</v>
      </c>
      <c r="B18" s="8" t="s">
        <v>12</v>
      </c>
      <c r="C18" s="142" t="s">
        <v>14</v>
      </c>
      <c r="D18" s="142"/>
      <c r="E18" s="6"/>
      <c r="F18" s="6"/>
    </row>
    <row r="19" spans="1:6" ht="21.75" customHeight="1" x14ac:dyDescent="0.3">
      <c r="A19" s="136"/>
      <c r="B19" s="136"/>
      <c r="C19" s="136"/>
      <c r="D19" s="136"/>
      <c r="E19" s="6"/>
      <c r="F19" s="6"/>
    </row>
    <row r="20" spans="1:6" ht="25.5" customHeight="1" x14ac:dyDescent="0.3">
      <c r="A20" s="135" t="s">
        <v>41</v>
      </c>
      <c r="B20" s="135"/>
      <c r="C20" s="135"/>
      <c r="D20" s="135"/>
      <c r="E20" s="6"/>
      <c r="F20" s="6"/>
    </row>
    <row r="21" spans="1:6" s="29" customFormat="1" x14ac:dyDescent="0.3">
      <c r="A21" s="137">
        <v>1</v>
      </c>
      <c r="B21" s="138"/>
      <c r="C21" s="27"/>
      <c r="D21" s="27"/>
      <c r="E21" s="28"/>
      <c r="F21" s="28"/>
    </row>
    <row r="22" spans="1:6" s="29" customFormat="1" x14ac:dyDescent="0.3">
      <c r="A22" s="137"/>
      <c r="B22" s="138"/>
      <c r="C22" s="27"/>
      <c r="D22" s="27"/>
      <c r="E22" s="28"/>
      <c r="F22" s="28"/>
    </row>
    <row r="23" spans="1:6" s="29" customFormat="1" x14ac:dyDescent="0.3">
      <c r="A23" s="137"/>
      <c r="B23" s="138"/>
      <c r="C23" s="27"/>
      <c r="D23" s="27"/>
      <c r="E23" s="28"/>
      <c r="F23" s="28"/>
    </row>
    <row r="24" spans="1:6" x14ac:dyDescent="0.3">
      <c r="A24" s="9"/>
      <c r="B24" s="6"/>
      <c r="C24" s="6"/>
      <c r="D24" s="6"/>
      <c r="E24" s="6"/>
      <c r="F24" s="6"/>
    </row>
    <row r="25" spans="1:6" ht="15" customHeight="1" x14ac:dyDescent="0.3">
      <c r="A25" s="132" t="s">
        <v>22</v>
      </c>
      <c r="B25" s="133"/>
      <c r="C25" s="133"/>
      <c r="D25" s="133"/>
      <c r="E25" s="133"/>
      <c r="F25" s="133"/>
    </row>
    <row r="26" spans="1:6" ht="15" customHeight="1" x14ac:dyDescent="0.3">
      <c r="A26" s="154" t="s">
        <v>23</v>
      </c>
      <c r="B26" s="133"/>
      <c r="C26" s="133"/>
      <c r="D26" s="133"/>
      <c r="E26" s="133"/>
      <c r="F26" s="133"/>
    </row>
    <row r="27" spans="1:6" ht="53.25" customHeight="1" x14ac:dyDescent="0.3">
      <c r="A27" s="153" t="s">
        <v>42</v>
      </c>
      <c r="B27" s="133"/>
      <c r="C27" s="133"/>
      <c r="D27" s="133"/>
      <c r="E27" s="133"/>
      <c r="F27" s="133"/>
    </row>
    <row r="28" spans="1:6" x14ac:dyDescent="0.3">
      <c r="A28" s="149" t="s">
        <v>24</v>
      </c>
      <c r="B28" s="150"/>
      <c r="C28" s="150"/>
      <c r="D28" s="150"/>
      <c r="E28" s="150"/>
      <c r="F28" s="150"/>
    </row>
    <row r="29" spans="1:6" x14ac:dyDescent="0.3">
      <c r="A29" s="11"/>
      <c r="B29" s="12"/>
      <c r="C29" s="13"/>
      <c r="D29" s="14"/>
      <c r="E29" s="13"/>
      <c r="F29" s="13"/>
    </row>
    <row r="30" spans="1:6" x14ac:dyDescent="0.3">
      <c r="A30" s="11" t="s">
        <v>37</v>
      </c>
      <c r="B30" s="12"/>
      <c r="C30" s="13"/>
      <c r="D30" s="14"/>
      <c r="E30" s="13"/>
      <c r="F30" s="13"/>
    </row>
    <row r="31" spans="1:6" x14ac:dyDescent="0.3">
      <c r="A31" s="11" t="s">
        <v>38</v>
      </c>
      <c r="B31" s="12"/>
      <c r="C31" s="13"/>
      <c r="D31" s="14"/>
      <c r="E31" s="13"/>
      <c r="F31" s="13"/>
    </row>
    <row r="32" spans="1:6" x14ac:dyDescent="0.3">
      <c r="A32" s="11" t="s">
        <v>39</v>
      </c>
      <c r="B32" s="12"/>
      <c r="C32" s="13"/>
      <c r="D32" s="14"/>
      <c r="E32" s="13"/>
      <c r="F32" s="13"/>
    </row>
    <row r="33" spans="1:8" x14ac:dyDescent="0.3">
      <c r="A33" s="11" t="s">
        <v>40</v>
      </c>
      <c r="B33" s="12"/>
      <c r="C33" s="13"/>
      <c r="D33" s="14"/>
      <c r="E33" s="13"/>
      <c r="F33" s="13"/>
    </row>
    <row r="34" spans="1:8" x14ac:dyDescent="0.3">
      <c r="A34" s="11"/>
      <c r="B34" s="12"/>
      <c r="C34" s="13"/>
      <c r="D34" s="14"/>
      <c r="E34" s="13"/>
      <c r="F34" s="13"/>
    </row>
    <row r="35" spans="1:8" ht="28.5" customHeight="1" x14ac:dyDescent="0.3">
      <c r="A35" s="151" t="s">
        <v>25</v>
      </c>
      <c r="B35" s="152"/>
      <c r="C35" s="152"/>
      <c r="D35" s="152"/>
      <c r="E35" s="152"/>
      <c r="F35" s="152"/>
    </row>
    <row r="36" spans="1:8" s="31" customFormat="1" ht="90" customHeight="1" x14ac:dyDescent="0.3">
      <c r="A36" s="15" t="s">
        <v>48</v>
      </c>
      <c r="B36" s="5" t="s">
        <v>43</v>
      </c>
      <c r="C36" s="5" t="s">
        <v>44</v>
      </c>
      <c r="D36" s="15" t="s">
        <v>26</v>
      </c>
      <c r="E36" s="30" t="s">
        <v>47</v>
      </c>
      <c r="F36" s="5" t="s">
        <v>27</v>
      </c>
    </row>
    <row r="37" spans="1:8" ht="22.5" customHeight="1" x14ac:dyDescent="0.3">
      <c r="A37" s="17">
        <f>191548.76</f>
        <v>191548.76</v>
      </c>
      <c r="B37" s="16">
        <f>38478.48+38478.48</f>
        <v>76956.960000000006</v>
      </c>
      <c r="C37" s="16">
        <f>33923.46+40683.32</f>
        <v>74606.78</v>
      </c>
      <c r="D37" s="16">
        <f>B37</f>
        <v>76956.960000000006</v>
      </c>
      <c r="E37" s="17">
        <f t="shared" ref="E37:E40" si="0">A37+B37-C37</f>
        <v>193898.94000000003</v>
      </c>
      <c r="F37" s="8" t="s">
        <v>28</v>
      </c>
    </row>
    <row r="38" spans="1:8" ht="18" customHeight="1" x14ac:dyDescent="0.3">
      <c r="A38" s="17">
        <v>80350.36</v>
      </c>
      <c r="B38" s="16">
        <f>16952.15+16952.15</f>
        <v>33904.300000000003</v>
      </c>
      <c r="C38" s="16">
        <f>14721.4+17111.14</f>
        <v>31832.54</v>
      </c>
      <c r="D38" s="16">
        <f t="shared" ref="D38:D39" si="1">B38</f>
        <v>33904.300000000003</v>
      </c>
      <c r="E38" s="17">
        <f t="shared" si="0"/>
        <v>82422.12</v>
      </c>
      <c r="F38" s="8" t="s">
        <v>29</v>
      </c>
    </row>
    <row r="39" spans="1:8" ht="45.75" customHeight="1" x14ac:dyDescent="0.3">
      <c r="A39" s="17">
        <v>83290.53</v>
      </c>
      <c r="B39" s="16">
        <f>15283.62+15283.62</f>
        <v>30567.24</v>
      </c>
      <c r="C39" s="16">
        <f>14314.08+17237.85</f>
        <v>31551.93</v>
      </c>
      <c r="D39" s="16">
        <f t="shared" si="1"/>
        <v>30567.24</v>
      </c>
      <c r="E39" s="17">
        <f t="shared" si="0"/>
        <v>82305.84</v>
      </c>
      <c r="F39" s="8" t="s">
        <v>30</v>
      </c>
    </row>
    <row r="40" spans="1:8" ht="29.25" customHeight="1" x14ac:dyDescent="0.3">
      <c r="A40" s="17">
        <v>46076.480000000003</v>
      </c>
      <c r="B40" s="16">
        <f>9256.05+9256.05</f>
        <v>18512.099999999999</v>
      </c>
      <c r="C40" s="16">
        <f>8160.41+9786.42</f>
        <v>17946.830000000002</v>
      </c>
      <c r="D40" s="32"/>
      <c r="E40" s="17">
        <f t="shared" si="0"/>
        <v>46641.75</v>
      </c>
      <c r="F40" s="8" t="s">
        <v>31</v>
      </c>
    </row>
    <row r="41" spans="1:8" x14ac:dyDescent="0.3">
      <c r="A41" s="18">
        <f>SUM(A37:A40)</f>
        <v>401266.13</v>
      </c>
      <c r="B41" s="18">
        <f>SUM(B37:B40)</f>
        <v>159940.6</v>
      </c>
      <c r="C41" s="18">
        <f>SUM(C37:C40)</f>
        <v>155938.08000000002</v>
      </c>
      <c r="D41" s="18">
        <f>SUM(D37:D40)</f>
        <v>141428.5</v>
      </c>
      <c r="E41" s="18">
        <f>SUM(E37:E40)</f>
        <v>405268.65</v>
      </c>
      <c r="F41" s="19" t="s">
        <v>32</v>
      </c>
    </row>
    <row r="42" spans="1:8" x14ac:dyDescent="0.3">
      <c r="A42" s="20"/>
      <c r="B42" s="20"/>
      <c r="C42" s="21"/>
      <c r="D42" s="20"/>
      <c r="E42" s="21"/>
      <c r="F42" s="20"/>
    </row>
    <row r="43" spans="1:8" x14ac:dyDescent="0.3">
      <c r="A43" s="147" t="s">
        <v>33</v>
      </c>
      <c r="B43" s="148"/>
      <c r="C43" s="148"/>
      <c r="D43" s="148"/>
      <c r="E43" s="148"/>
      <c r="F43" s="11"/>
    </row>
    <row r="44" spans="1:8" ht="57.75" customHeight="1" x14ac:dyDescent="0.3">
      <c r="A44" s="15" t="s">
        <v>48</v>
      </c>
      <c r="B44" s="24" t="s">
        <v>43</v>
      </c>
      <c r="C44" s="24" t="s">
        <v>44</v>
      </c>
      <c r="D44" s="15" t="s">
        <v>26</v>
      </c>
      <c r="E44" s="30" t="s">
        <v>47</v>
      </c>
      <c r="F44" s="5" t="s">
        <v>34</v>
      </c>
    </row>
    <row r="45" spans="1:8" ht="29.25" customHeight="1" x14ac:dyDescent="0.3">
      <c r="A45" s="17">
        <f>31943.76+21962.19</f>
        <v>53905.95</v>
      </c>
      <c r="B45" s="17">
        <f>7961.17+5477.5+3864.91+2659.15</f>
        <v>19962.730000000003</v>
      </c>
      <c r="C45" s="17">
        <f>8066.61+5534.06+9369.21+6446.27</f>
        <v>29416.149999999998</v>
      </c>
      <c r="D45" s="17">
        <f>C45</f>
        <v>29416.149999999998</v>
      </c>
      <c r="E45" s="17">
        <f t="shared" ref="E45:E46" si="2">A45+B45-C45</f>
        <v>44452.53</v>
      </c>
      <c r="F45" s="8" t="s">
        <v>35</v>
      </c>
    </row>
    <row r="46" spans="1:8" ht="27" customHeight="1" x14ac:dyDescent="0.3">
      <c r="A46" s="17">
        <f>24337.98+16729.88</f>
        <v>41067.86</v>
      </c>
      <c r="B46" s="17">
        <f>6362.95+4377.85+8367.22+5756.83</f>
        <v>24864.85</v>
      </c>
      <c r="C46" s="17">
        <f>6831.61+4689.67+8771.98+6035.32</f>
        <v>26328.579999999998</v>
      </c>
      <c r="D46" s="17">
        <f t="shared" ref="D46:D47" si="3">C46</f>
        <v>26328.579999999998</v>
      </c>
      <c r="E46" s="17">
        <f t="shared" si="2"/>
        <v>39604.12999999999</v>
      </c>
      <c r="F46" s="8" t="s">
        <v>36</v>
      </c>
      <c r="G46" s="34" t="s">
        <v>46</v>
      </c>
      <c r="H46" s="34"/>
    </row>
    <row r="47" spans="1:8" s="4" customFormat="1" ht="34.5" customHeight="1" x14ac:dyDescent="0.3">
      <c r="A47" s="17"/>
      <c r="B47" s="17"/>
      <c r="C47" s="17"/>
      <c r="D47" s="17">
        <f t="shared" si="3"/>
        <v>0</v>
      </c>
      <c r="E47" s="17"/>
      <c r="F47" s="33" t="s">
        <v>45</v>
      </c>
    </row>
    <row r="48" spans="1:8" x14ac:dyDescent="0.3">
      <c r="A48" s="18">
        <f>A45+A46</f>
        <v>94973.81</v>
      </c>
      <c r="B48" s="18">
        <f>SUM(B45:B47)</f>
        <v>44827.58</v>
      </c>
      <c r="C48" s="18">
        <f t="shared" ref="C48:E48" si="4">SUM(C45:C47)</f>
        <v>55744.729999999996</v>
      </c>
      <c r="D48" s="18">
        <f t="shared" si="4"/>
        <v>55744.729999999996</v>
      </c>
      <c r="E48" s="18">
        <f t="shared" si="4"/>
        <v>84056.659999999989</v>
      </c>
      <c r="F48" s="19" t="s">
        <v>32</v>
      </c>
    </row>
    <row r="51" spans="2:3" x14ac:dyDescent="0.3">
      <c r="B51" s="35">
        <v>204768.18</v>
      </c>
      <c r="C51" s="35">
        <v>211682.81</v>
      </c>
    </row>
    <row r="53" spans="2:3" x14ac:dyDescent="0.3">
      <c r="B53" s="35"/>
      <c r="C53" s="35"/>
    </row>
    <row r="56" spans="2:3" x14ac:dyDescent="0.3">
      <c r="C56" s="35"/>
    </row>
  </sheetData>
  <mergeCells count="26">
    <mergeCell ref="A43:E43"/>
    <mergeCell ref="A28:F28"/>
    <mergeCell ref="A35:F35"/>
    <mergeCell ref="A27:F27"/>
    <mergeCell ref="A26:F26"/>
    <mergeCell ref="C12:D12"/>
    <mergeCell ref="C13:D13"/>
    <mergeCell ref="C14:D14"/>
    <mergeCell ref="C15:D15"/>
    <mergeCell ref="C18:D18"/>
    <mergeCell ref="A25:F25"/>
    <mergeCell ref="A1:D1"/>
    <mergeCell ref="A17:D17"/>
    <mergeCell ref="A20:D20"/>
    <mergeCell ref="A3:D3"/>
    <mergeCell ref="A19:D19"/>
    <mergeCell ref="A21:A23"/>
    <mergeCell ref="B21:B23"/>
    <mergeCell ref="C4:D4"/>
    <mergeCell ref="C5:D5"/>
    <mergeCell ref="C6:D6"/>
    <mergeCell ref="C7:D7"/>
    <mergeCell ref="C8:D8"/>
    <mergeCell ref="C9:D9"/>
    <mergeCell ref="C10:D10"/>
    <mergeCell ref="C11:D11"/>
  </mergeCells>
  <pageMargins left="0.31496062992125984" right="0.11811023622047245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8"/>
  <sheetViews>
    <sheetView topLeftCell="A28" workbookViewId="0">
      <pane xSplit="9" ySplit="3" topLeftCell="J37" activePane="bottomRight" state="frozen"/>
      <selection activeCell="A28" sqref="A28"/>
      <selection pane="topRight" activeCell="J28" sqref="J28"/>
      <selection pane="bottomLeft" activeCell="A31" sqref="A31"/>
      <selection pane="bottomRight" activeCell="C48" sqref="C48"/>
    </sheetView>
  </sheetViews>
  <sheetFormatPr defaultColWidth="9.109375" defaultRowHeight="14.4" x14ac:dyDescent="0.3"/>
  <cols>
    <col min="1" max="1" width="14.6640625" style="3" customWidth="1"/>
    <col min="2" max="2" width="17" style="22" customWidth="1"/>
    <col min="3" max="3" width="14" style="22" customWidth="1"/>
    <col min="4" max="4" width="12.6640625" style="22" customWidth="1"/>
    <col min="5" max="5" width="16.109375" style="22" customWidth="1"/>
    <col min="6" max="6" width="22.44140625" style="22" customWidth="1"/>
    <col min="7" max="7" width="11.5546875" style="22" bestFit="1" customWidth="1"/>
    <col min="8" max="9" width="9.109375" style="22"/>
    <col min="10" max="29" width="12.5546875" style="22" customWidth="1"/>
    <col min="30" max="16384" width="9.109375" style="22"/>
  </cols>
  <sheetData>
    <row r="1" spans="1:6" ht="18" x14ac:dyDescent="0.35">
      <c r="A1" s="134" t="s">
        <v>19</v>
      </c>
      <c r="B1" s="134"/>
      <c r="C1" s="134"/>
      <c r="D1" s="134"/>
    </row>
    <row r="2" spans="1:6" ht="18" x14ac:dyDescent="0.35">
      <c r="A2" s="23"/>
      <c r="B2" s="23"/>
      <c r="C2" s="23"/>
      <c r="D2" s="23"/>
    </row>
    <row r="3" spans="1:6" ht="24" customHeight="1" x14ac:dyDescent="0.3">
      <c r="A3" s="135" t="s">
        <v>17</v>
      </c>
      <c r="B3" s="135"/>
      <c r="C3" s="135"/>
      <c r="D3" s="135"/>
      <c r="E3" s="26"/>
      <c r="F3" s="26"/>
    </row>
    <row r="4" spans="1:6" x14ac:dyDescent="0.3">
      <c r="A4" s="7">
        <v>1</v>
      </c>
      <c r="B4" s="8" t="s">
        <v>0</v>
      </c>
      <c r="C4" s="139">
        <v>2009</v>
      </c>
      <c r="D4" s="139"/>
      <c r="E4" s="26"/>
      <c r="F4" s="26"/>
    </row>
    <row r="5" spans="1:6" x14ac:dyDescent="0.3">
      <c r="A5" s="7">
        <v>2</v>
      </c>
      <c r="B5" s="8" t="s">
        <v>1</v>
      </c>
      <c r="C5" s="139">
        <v>14</v>
      </c>
      <c r="D5" s="139"/>
      <c r="E5" s="26"/>
      <c r="F5" s="26"/>
    </row>
    <row r="6" spans="1:6" x14ac:dyDescent="0.3">
      <c r="A6" s="7">
        <v>3</v>
      </c>
      <c r="B6" s="8" t="s">
        <v>2</v>
      </c>
      <c r="C6" s="139">
        <v>104</v>
      </c>
      <c r="D6" s="139"/>
      <c r="E6" s="26"/>
      <c r="F6" s="26"/>
    </row>
    <row r="7" spans="1:6" ht="21.6" x14ac:dyDescent="0.3">
      <c r="A7" s="7">
        <v>4</v>
      </c>
      <c r="B7" s="8" t="s">
        <v>3</v>
      </c>
      <c r="C7" s="139">
        <v>5379.4</v>
      </c>
      <c r="D7" s="139"/>
      <c r="E7" s="26"/>
      <c r="F7" s="26"/>
    </row>
    <row r="8" spans="1:6" ht="21.6" x14ac:dyDescent="0.3">
      <c r="A8" s="7">
        <v>5</v>
      </c>
      <c r="B8" s="8" t="s">
        <v>4</v>
      </c>
      <c r="C8" s="139">
        <v>1540.8</v>
      </c>
      <c r="D8" s="139"/>
      <c r="E8" s="26"/>
      <c r="F8" s="26"/>
    </row>
    <row r="9" spans="1:6" ht="21.6" x14ac:dyDescent="0.3">
      <c r="A9" s="7">
        <v>6</v>
      </c>
      <c r="B9" s="8" t="s">
        <v>15</v>
      </c>
      <c r="C9" s="139">
        <v>1818.6</v>
      </c>
      <c r="D9" s="139"/>
      <c r="E9" s="26"/>
      <c r="F9" s="26"/>
    </row>
    <row r="10" spans="1:6" ht="46.5" customHeight="1" x14ac:dyDescent="0.3">
      <c r="A10" s="7">
        <v>7</v>
      </c>
      <c r="B10" s="8" t="s">
        <v>5</v>
      </c>
      <c r="C10" s="140" t="s">
        <v>11</v>
      </c>
      <c r="D10" s="141"/>
      <c r="E10" s="26"/>
      <c r="F10" s="26"/>
    </row>
    <row r="11" spans="1:6" x14ac:dyDescent="0.3">
      <c r="A11" s="7">
        <v>8</v>
      </c>
      <c r="B11" s="8" t="s">
        <v>6</v>
      </c>
      <c r="C11" s="139" t="s">
        <v>20</v>
      </c>
      <c r="D11" s="139"/>
      <c r="E11" s="26"/>
      <c r="F11" s="26"/>
    </row>
    <row r="12" spans="1:6" x14ac:dyDescent="0.3">
      <c r="A12" s="7">
        <v>9</v>
      </c>
      <c r="B12" s="8" t="s">
        <v>7</v>
      </c>
      <c r="C12" s="142" t="s">
        <v>10</v>
      </c>
      <c r="D12" s="142"/>
      <c r="E12" s="26"/>
      <c r="F12" s="26"/>
    </row>
    <row r="13" spans="1:6" ht="45" customHeight="1" x14ac:dyDescent="0.3">
      <c r="A13" s="7">
        <v>10</v>
      </c>
      <c r="B13" s="8" t="s">
        <v>8</v>
      </c>
      <c r="C13" s="142" t="s">
        <v>10</v>
      </c>
      <c r="D13" s="142"/>
      <c r="E13" s="26"/>
      <c r="F13" s="26"/>
    </row>
    <row r="14" spans="1:6" ht="35.25" customHeight="1" x14ac:dyDescent="0.3">
      <c r="A14" s="7">
        <v>11</v>
      </c>
      <c r="B14" s="8" t="s">
        <v>13</v>
      </c>
      <c r="C14" s="143" t="s">
        <v>21</v>
      </c>
      <c r="D14" s="144"/>
      <c r="E14" s="26"/>
      <c r="F14" s="26"/>
    </row>
    <row r="15" spans="1:6" ht="44.25" customHeight="1" x14ac:dyDescent="0.3">
      <c r="A15" s="7">
        <v>12</v>
      </c>
      <c r="B15" s="8" t="s">
        <v>16</v>
      </c>
      <c r="C15" s="145" t="s">
        <v>9</v>
      </c>
      <c r="D15" s="146"/>
      <c r="E15" s="26"/>
      <c r="F15" s="26"/>
    </row>
    <row r="16" spans="1:6" ht="29.25" customHeight="1" x14ac:dyDescent="0.3">
      <c r="A16" s="9"/>
      <c r="B16" s="10"/>
      <c r="C16" s="10"/>
      <c r="D16" s="26"/>
      <c r="E16" s="26"/>
      <c r="F16" s="26"/>
    </row>
    <row r="17" spans="1:27" ht="22.5" customHeight="1" x14ac:dyDescent="0.3">
      <c r="A17" s="135" t="s">
        <v>18</v>
      </c>
      <c r="B17" s="135"/>
      <c r="C17" s="135"/>
      <c r="D17" s="135"/>
      <c r="E17" s="26"/>
      <c r="F17" s="26"/>
    </row>
    <row r="18" spans="1:27" ht="42" x14ac:dyDescent="0.3">
      <c r="A18" s="7">
        <v>1</v>
      </c>
      <c r="B18" s="8" t="s">
        <v>12</v>
      </c>
      <c r="C18" s="142" t="s">
        <v>14</v>
      </c>
      <c r="D18" s="142"/>
      <c r="E18" s="26"/>
      <c r="F18" s="26"/>
    </row>
    <row r="19" spans="1:27" ht="21.75" customHeight="1" x14ac:dyDescent="0.3">
      <c r="A19" s="136"/>
      <c r="B19" s="136"/>
      <c r="C19" s="136"/>
      <c r="D19" s="136"/>
      <c r="E19" s="26"/>
      <c r="F19" s="26"/>
    </row>
    <row r="20" spans="1:27" ht="25.5" customHeight="1" x14ac:dyDescent="0.3">
      <c r="A20" s="135" t="s">
        <v>41</v>
      </c>
      <c r="B20" s="135"/>
      <c r="C20" s="135"/>
      <c r="D20" s="135"/>
      <c r="E20" s="26"/>
      <c r="F20" s="26"/>
    </row>
    <row r="21" spans="1:27" s="29" customFormat="1" x14ac:dyDescent="0.3">
      <c r="A21" s="137">
        <v>1</v>
      </c>
      <c r="B21" s="138"/>
      <c r="C21" s="27"/>
      <c r="D21" s="27"/>
      <c r="E21" s="28"/>
      <c r="F21" s="28"/>
    </row>
    <row r="22" spans="1:27" s="29" customFormat="1" x14ac:dyDescent="0.3">
      <c r="A22" s="137"/>
      <c r="B22" s="138"/>
      <c r="C22" s="27"/>
      <c r="D22" s="27"/>
      <c r="E22" s="28"/>
      <c r="F22" s="28"/>
    </row>
    <row r="23" spans="1:27" s="29" customFormat="1" x14ac:dyDescent="0.3">
      <c r="A23" s="137"/>
      <c r="B23" s="138"/>
      <c r="C23" s="27"/>
      <c r="D23" s="27"/>
      <c r="E23" s="28"/>
      <c r="F23" s="28"/>
    </row>
    <row r="24" spans="1:27" x14ac:dyDescent="0.3">
      <c r="A24" s="9"/>
      <c r="B24" s="26"/>
      <c r="C24" s="26"/>
      <c r="D24" s="26"/>
      <c r="E24" s="26"/>
      <c r="F24" s="26"/>
    </row>
    <row r="25" spans="1:27" ht="15" customHeight="1" x14ac:dyDescent="0.3">
      <c r="A25" s="132" t="s">
        <v>22</v>
      </c>
      <c r="B25" s="133"/>
      <c r="C25" s="133"/>
      <c r="D25" s="133"/>
      <c r="E25" s="133"/>
      <c r="F25" s="133"/>
    </row>
    <row r="26" spans="1:27" ht="15" customHeight="1" x14ac:dyDescent="0.3">
      <c r="A26" s="154" t="s">
        <v>23</v>
      </c>
      <c r="B26" s="133"/>
      <c r="C26" s="133"/>
      <c r="D26" s="133"/>
      <c r="E26" s="133"/>
      <c r="F26" s="133"/>
    </row>
    <row r="27" spans="1:27" ht="53.25" customHeight="1" x14ac:dyDescent="0.3">
      <c r="A27" s="153" t="s">
        <v>42</v>
      </c>
      <c r="B27" s="133"/>
      <c r="C27" s="133"/>
      <c r="D27" s="133"/>
      <c r="E27" s="133"/>
      <c r="F27" s="133"/>
    </row>
    <row r="28" spans="1:27" x14ac:dyDescent="0.3">
      <c r="A28" s="149" t="s">
        <v>24</v>
      </c>
      <c r="B28" s="150"/>
      <c r="C28" s="150"/>
      <c r="D28" s="150"/>
      <c r="E28" s="150"/>
      <c r="F28" s="150"/>
    </row>
    <row r="29" spans="1:27" x14ac:dyDescent="0.3">
      <c r="A29" s="11"/>
      <c r="B29" s="12"/>
      <c r="C29" s="25"/>
      <c r="D29" s="14"/>
      <c r="E29" s="25"/>
      <c r="F29" s="25"/>
    </row>
    <row r="30" spans="1:27" x14ac:dyDescent="0.3">
      <c r="A30" s="11" t="s">
        <v>37</v>
      </c>
      <c r="B30" s="12"/>
      <c r="C30" s="25"/>
      <c r="D30" s="14"/>
      <c r="E30" s="25"/>
      <c r="F30" s="25"/>
      <c r="I30" s="50"/>
      <c r="J30" s="159" t="s">
        <v>50</v>
      </c>
      <c r="K30" s="160"/>
      <c r="L30" s="161" t="s">
        <v>51</v>
      </c>
      <c r="M30" s="162"/>
      <c r="N30" s="159" t="s">
        <v>52</v>
      </c>
      <c r="O30" s="160"/>
      <c r="P30" s="159" t="s">
        <v>53</v>
      </c>
      <c r="Q30" s="160"/>
      <c r="R30" s="163" t="s">
        <v>54</v>
      </c>
      <c r="S30" s="164"/>
      <c r="T30" s="155" t="s">
        <v>55</v>
      </c>
      <c r="U30" s="156"/>
      <c r="V30" s="157" t="s">
        <v>56</v>
      </c>
      <c r="W30" s="158"/>
      <c r="X30" s="159" t="s">
        <v>57</v>
      </c>
      <c r="Y30" s="160"/>
      <c r="Z30" s="50"/>
      <c r="AA30" s="50"/>
    </row>
    <row r="31" spans="1:27" x14ac:dyDescent="0.3">
      <c r="A31" s="11" t="s">
        <v>38</v>
      </c>
      <c r="B31" s="12"/>
      <c r="C31" s="25"/>
      <c r="D31" s="14"/>
      <c r="E31" s="25"/>
      <c r="F31" s="25"/>
      <c r="I31" s="51">
        <v>42005</v>
      </c>
      <c r="J31" s="52"/>
      <c r="K31" s="52"/>
      <c r="L31" s="53"/>
      <c r="M31" s="53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</row>
    <row r="32" spans="1:27" x14ac:dyDescent="0.3">
      <c r="A32" s="11" t="s">
        <v>39</v>
      </c>
      <c r="B32" s="12"/>
      <c r="C32" s="25"/>
      <c r="D32" s="14"/>
      <c r="E32" s="25"/>
      <c r="F32" s="25"/>
      <c r="I32" s="51">
        <v>42036</v>
      </c>
      <c r="J32" s="52"/>
      <c r="K32" s="52"/>
      <c r="L32" s="53"/>
      <c r="M32" s="53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</row>
    <row r="33" spans="1:27" x14ac:dyDescent="0.3">
      <c r="A33" s="11" t="s">
        <v>40</v>
      </c>
      <c r="B33" s="12"/>
      <c r="C33" s="25"/>
      <c r="D33" s="14"/>
      <c r="E33" s="25"/>
      <c r="F33" s="25"/>
      <c r="I33" s="51">
        <v>42064</v>
      </c>
      <c r="J33" s="54">
        <v>71848.789999999994</v>
      </c>
      <c r="K33" s="55"/>
      <c r="L33" s="54">
        <v>16952.150000000001</v>
      </c>
      <c r="M33" s="56"/>
      <c r="N33" s="50">
        <v>17064.259999999998</v>
      </c>
      <c r="O33" s="50"/>
      <c r="P33" s="50">
        <v>10568.74</v>
      </c>
      <c r="Q33" s="50"/>
      <c r="R33" s="50">
        <v>53815</v>
      </c>
      <c r="S33" s="50"/>
      <c r="T33" s="50">
        <f>15872.89+14543.7</f>
        <v>30416.59</v>
      </c>
      <c r="U33" s="50"/>
      <c r="V33" s="50">
        <v>8526.6299999999992</v>
      </c>
      <c r="W33" s="50"/>
      <c r="X33" s="50">
        <v>45235.28</v>
      </c>
      <c r="Y33" s="50"/>
      <c r="Z33" s="57"/>
      <c r="AA33" s="57"/>
    </row>
    <row r="34" spans="1:27" x14ac:dyDescent="0.3">
      <c r="A34" s="11"/>
      <c r="B34" s="12"/>
      <c r="C34" s="25"/>
      <c r="D34" s="14"/>
      <c r="E34" s="25"/>
      <c r="F34" s="25"/>
      <c r="I34" s="58">
        <v>42095</v>
      </c>
      <c r="J34" s="59">
        <v>60103.92</v>
      </c>
      <c r="K34" s="59">
        <v>30778.26</v>
      </c>
      <c r="L34" s="60">
        <v>16952.150000000001</v>
      </c>
      <c r="M34" s="60">
        <v>7955.89</v>
      </c>
      <c r="N34" s="50">
        <v>17064.259999999998</v>
      </c>
      <c r="O34" s="50">
        <v>7654.32</v>
      </c>
      <c r="P34" s="52">
        <v>10568.74</v>
      </c>
      <c r="Q34" s="50">
        <v>5099.4399999999996</v>
      </c>
      <c r="R34" s="50">
        <v>26907.5</v>
      </c>
      <c r="S34" s="50">
        <v>17762.53</v>
      </c>
      <c r="T34" s="50">
        <f>14452.32+11999.94</f>
        <v>26452.260000000002</v>
      </c>
      <c r="U34" s="50">
        <f>5541.72+6209.12</f>
        <v>11750.84</v>
      </c>
      <c r="V34" s="50">
        <v>9005.6</v>
      </c>
      <c r="W34" s="50">
        <v>5073.59</v>
      </c>
      <c r="X34" s="50">
        <v>12607.95</v>
      </c>
      <c r="Y34" s="50">
        <v>14930.68</v>
      </c>
      <c r="Z34" s="57"/>
      <c r="AA34" s="57"/>
    </row>
    <row r="35" spans="1:27" ht="28.5" customHeight="1" x14ac:dyDescent="0.3">
      <c r="A35" s="151" t="s">
        <v>25</v>
      </c>
      <c r="B35" s="152"/>
      <c r="C35" s="152"/>
      <c r="D35" s="152"/>
      <c r="E35" s="152"/>
      <c r="F35" s="152"/>
      <c r="I35" s="51">
        <v>42125</v>
      </c>
      <c r="J35" s="52">
        <v>60103.92</v>
      </c>
      <c r="K35" s="52">
        <v>50774.87</v>
      </c>
      <c r="L35" s="53">
        <v>16952.150000000001</v>
      </c>
      <c r="M35" s="53">
        <v>15845.87</v>
      </c>
      <c r="N35" s="50">
        <v>17064.259999999998</v>
      </c>
      <c r="O35" s="50">
        <v>14990.59</v>
      </c>
      <c r="P35" s="50">
        <v>10568.74</v>
      </c>
      <c r="Q35" s="50">
        <v>9155.06</v>
      </c>
      <c r="R35" s="50">
        <v>26907.5</v>
      </c>
      <c r="S35" s="50">
        <v>22536.880000000001</v>
      </c>
      <c r="T35" s="50">
        <f>11380.96+9515+4513.95</f>
        <v>25409.91</v>
      </c>
      <c r="U35" s="50">
        <f>11689.86+13685.62</f>
        <v>25375.480000000003</v>
      </c>
      <c r="V35" s="50">
        <f>7026.65+2305.06</f>
        <v>9331.7099999999991</v>
      </c>
      <c r="W35" s="50">
        <v>9638.2900000000009</v>
      </c>
      <c r="X35" s="50">
        <v>3425.08</v>
      </c>
      <c r="Y35" s="50">
        <v>14327.22</v>
      </c>
      <c r="Z35" s="57"/>
      <c r="AA35" s="57"/>
    </row>
    <row r="36" spans="1:27" s="31" customFormat="1" ht="90" customHeight="1" x14ac:dyDescent="0.3">
      <c r="A36" s="15" t="s">
        <v>48</v>
      </c>
      <c r="B36" s="24" t="s">
        <v>43</v>
      </c>
      <c r="C36" s="24" t="s">
        <v>44</v>
      </c>
      <c r="D36" s="15" t="s">
        <v>26</v>
      </c>
      <c r="E36" s="30" t="s">
        <v>47</v>
      </c>
      <c r="F36" s="24" t="s">
        <v>27</v>
      </c>
      <c r="I36" s="51">
        <v>42156</v>
      </c>
      <c r="J36" s="52">
        <v>60103.92</v>
      </c>
      <c r="K36" s="52">
        <v>49062.99</v>
      </c>
      <c r="L36" s="53">
        <v>16952.150000000001</v>
      </c>
      <c r="M36" s="53">
        <v>15340.73</v>
      </c>
      <c r="N36" s="50">
        <v>17064.259999999998</v>
      </c>
      <c r="O36" s="50">
        <v>14512.72</v>
      </c>
      <c r="P36" s="50">
        <v>10568.74</v>
      </c>
      <c r="Q36" s="50">
        <v>8863.19</v>
      </c>
      <c r="R36" s="50">
        <v>26907.5</v>
      </c>
      <c r="S36" s="50">
        <v>21519.96</v>
      </c>
      <c r="T36" s="50">
        <f>13556.05-2504.07+1132.46+11319.69-244.06</f>
        <v>23260.069999999996</v>
      </c>
      <c r="U36" s="50">
        <f>10640.47+10014.58</f>
        <v>20655.05</v>
      </c>
      <c r="V36" s="50">
        <v>8383.09</v>
      </c>
      <c r="W36" s="50">
        <v>10002.120000000001</v>
      </c>
      <c r="X36" s="50">
        <v>27722.95</v>
      </c>
      <c r="Y36" s="50">
        <v>6871.67</v>
      </c>
      <c r="Z36" s="57"/>
      <c r="AA36" s="57"/>
    </row>
    <row r="37" spans="1:27" ht="27.75" customHeight="1" x14ac:dyDescent="0.3">
      <c r="A37" s="17">
        <v>157625.26999999999</v>
      </c>
      <c r="B37" s="16">
        <f>J44</f>
        <v>612784.06999999995</v>
      </c>
      <c r="C37" s="16">
        <f>K44</f>
        <v>498537.58</v>
      </c>
      <c r="D37" s="16">
        <f>B37</f>
        <v>612784.06999999995</v>
      </c>
      <c r="E37" s="17">
        <f t="shared" ref="E37:E40" si="0">A37+B37-C37</f>
        <v>271871.75999999995</v>
      </c>
      <c r="F37" s="8" t="s">
        <v>59</v>
      </c>
      <c r="I37" s="51">
        <v>42186</v>
      </c>
      <c r="J37" s="52">
        <v>60103.92</v>
      </c>
      <c r="K37" s="57">
        <v>49061.14</v>
      </c>
      <c r="L37" s="57">
        <v>15311.7</v>
      </c>
      <c r="M37" s="57">
        <v>15417.92</v>
      </c>
      <c r="N37" s="57">
        <v>16592.82</v>
      </c>
      <c r="O37" s="57">
        <v>14585.72</v>
      </c>
      <c r="P37" s="57">
        <v>10568.74</v>
      </c>
      <c r="Q37" s="57">
        <v>8907.68</v>
      </c>
      <c r="R37" s="57">
        <v>26907.5</v>
      </c>
      <c r="S37" s="57">
        <v>21103.32</v>
      </c>
      <c r="T37" s="57">
        <f>6926.49-2075.13+1132.46+9399.81</f>
        <v>15383.63</v>
      </c>
      <c r="U37" s="57">
        <f>11622.45+538.68+11939.64</f>
        <v>24100.77</v>
      </c>
      <c r="V37" s="57">
        <f>667.27+1622.78</f>
        <v>2290.0500000000002</v>
      </c>
      <c r="W37" s="57">
        <f>9559.63-1622.78</f>
        <v>7936.8499999999995</v>
      </c>
      <c r="X37" s="57">
        <v>29141.22</v>
      </c>
      <c r="Y37" s="57">
        <v>17497.02</v>
      </c>
      <c r="Z37" s="50"/>
      <c r="AA37" s="50"/>
    </row>
    <row r="38" spans="1:27" ht="18" customHeight="1" x14ac:dyDescent="0.3">
      <c r="A38" s="17">
        <v>55008.78</v>
      </c>
      <c r="B38" s="16">
        <f>L44</f>
        <v>158473.96000000002</v>
      </c>
      <c r="C38" s="16">
        <f>M44</f>
        <v>134836.04</v>
      </c>
      <c r="D38" s="16">
        <f t="shared" ref="D38:D39" si="1">B38</f>
        <v>158473.96000000002</v>
      </c>
      <c r="E38" s="17">
        <f t="shared" si="0"/>
        <v>78646.700000000012</v>
      </c>
      <c r="F38" s="8" t="s">
        <v>29</v>
      </c>
      <c r="I38" s="51">
        <v>42217</v>
      </c>
      <c r="J38" s="52">
        <v>60103.92</v>
      </c>
      <c r="K38" s="52">
        <v>43976.36</v>
      </c>
      <c r="L38" s="53">
        <v>11482.48</v>
      </c>
      <c r="M38" s="53">
        <v>12633.59</v>
      </c>
      <c r="N38" s="50">
        <v>16592.82</v>
      </c>
      <c r="O38" s="50">
        <v>12745.57</v>
      </c>
      <c r="P38" s="50">
        <v>10568.74</v>
      </c>
      <c r="Q38" s="50">
        <v>7787.93</v>
      </c>
      <c r="R38" s="50">
        <v>26907.5</v>
      </c>
      <c r="S38" s="50">
        <v>20545.88</v>
      </c>
      <c r="T38" s="50">
        <f>9630.34-1310.08+1132.46+9697.2-513.91</f>
        <v>18636.010000000002</v>
      </c>
      <c r="U38" s="52">
        <f>7792.27+721.94+9306.5</f>
        <v>17820.71</v>
      </c>
      <c r="V38" s="50">
        <v>4300.2</v>
      </c>
      <c r="W38" s="50">
        <v>4400.29</v>
      </c>
      <c r="X38" s="50">
        <v>20237.73</v>
      </c>
      <c r="Y38" s="50">
        <v>20208.099999999999</v>
      </c>
      <c r="Z38" s="50"/>
      <c r="AA38" s="50"/>
    </row>
    <row r="39" spans="1:27" ht="45.75" customHeight="1" x14ac:dyDescent="0.3">
      <c r="A39" s="17">
        <v>69100.560000000012</v>
      </c>
      <c r="B39" s="16">
        <f>N44</f>
        <v>167813.96000000002</v>
      </c>
      <c r="C39" s="16">
        <f>O44</f>
        <v>135867.32</v>
      </c>
      <c r="D39" s="16">
        <f t="shared" si="1"/>
        <v>167813.96000000002</v>
      </c>
      <c r="E39" s="17">
        <f t="shared" si="0"/>
        <v>101047.20000000001</v>
      </c>
      <c r="F39" s="8" t="s">
        <v>30</v>
      </c>
      <c r="I39" s="61">
        <v>42248</v>
      </c>
      <c r="J39" s="62">
        <v>60103.92</v>
      </c>
      <c r="K39" s="62">
        <v>49435.14</v>
      </c>
      <c r="L39" s="63">
        <v>15256.74</v>
      </c>
      <c r="M39" s="63">
        <v>12586.14</v>
      </c>
      <c r="N39" s="64">
        <v>16592.82</v>
      </c>
      <c r="O39" s="62">
        <v>14739.74</v>
      </c>
      <c r="P39" s="64">
        <v>10568.74</v>
      </c>
      <c r="Q39" s="64">
        <v>9001.84</v>
      </c>
      <c r="R39" s="64">
        <v>26907.5</v>
      </c>
      <c r="S39" s="64">
        <v>21021.73</v>
      </c>
      <c r="T39" s="64">
        <f>1132.46+11582.28-506.6</f>
        <v>12208.140000000001</v>
      </c>
      <c r="U39" s="64">
        <f>783.19+13038.69</f>
        <v>13821.880000000001</v>
      </c>
      <c r="V39" s="64">
        <f>7385.3-553.34</f>
        <v>6831.96</v>
      </c>
      <c r="W39" s="64">
        <v>7634.8</v>
      </c>
      <c r="X39" s="64">
        <v>10787.96</v>
      </c>
      <c r="Y39" s="64">
        <v>16641.439999999999</v>
      </c>
      <c r="Z39" s="64"/>
      <c r="AA39" s="64"/>
    </row>
    <row r="40" spans="1:27" ht="29.25" customHeight="1" x14ac:dyDescent="0.3">
      <c r="A40" s="17">
        <v>37916.069999999992</v>
      </c>
      <c r="B40" s="16">
        <f>P44</f>
        <v>105687.40000000001</v>
      </c>
      <c r="C40" s="16">
        <f>Q44</f>
        <v>89819.909999999989</v>
      </c>
      <c r="D40" s="43"/>
      <c r="E40" s="17">
        <f t="shared" si="0"/>
        <v>53783.560000000012</v>
      </c>
      <c r="F40" s="8" t="s">
        <v>31</v>
      </c>
      <c r="I40" s="51">
        <v>42278</v>
      </c>
      <c r="J40" s="62">
        <v>60103.92</v>
      </c>
      <c r="K40" s="52">
        <v>45079.78</v>
      </c>
      <c r="L40" s="53">
        <v>16678.61</v>
      </c>
      <c r="M40" s="53">
        <v>11495.94</v>
      </c>
      <c r="N40" s="64">
        <v>16592.82</v>
      </c>
      <c r="O40" s="50">
        <v>13054.98</v>
      </c>
      <c r="P40" s="64">
        <v>10568.74</v>
      </c>
      <c r="Q40" s="50">
        <v>7972.91</v>
      </c>
      <c r="R40" s="50">
        <v>26907.5</v>
      </c>
      <c r="S40" s="50">
        <v>20064.28</v>
      </c>
      <c r="T40" s="50">
        <f>10747.95-2250.4+1167.63+9510.78-2059.93</f>
        <v>17116.03</v>
      </c>
      <c r="U40" s="50">
        <f>10896.74+766.1+11022.65</f>
        <v>22685.489999999998</v>
      </c>
      <c r="V40" s="50">
        <f>6110.81-1210.85</f>
        <v>4899.9600000000009</v>
      </c>
      <c r="W40" s="65">
        <v>6081.41</v>
      </c>
      <c r="X40" s="50">
        <v>14896.79</v>
      </c>
      <c r="Y40" s="50">
        <v>10456.31</v>
      </c>
      <c r="Z40" s="50"/>
      <c r="AA40" s="50"/>
    </row>
    <row r="41" spans="1:27" x14ac:dyDescent="0.3">
      <c r="A41" s="18">
        <f>SUM(A37:A40)</f>
        <v>319650.68</v>
      </c>
      <c r="B41" s="18">
        <f>SUM(B37:B40)</f>
        <v>1044759.39</v>
      </c>
      <c r="C41" s="18">
        <f>SUM(C37:C40)</f>
        <v>859060.85</v>
      </c>
      <c r="D41" s="18">
        <f>SUM(D37:D40)</f>
        <v>939071.99</v>
      </c>
      <c r="E41" s="18">
        <f>SUM(E37:E40)</f>
        <v>505349.22</v>
      </c>
      <c r="F41" s="19" t="s">
        <v>32</v>
      </c>
      <c r="G41" s="69"/>
      <c r="I41" s="51">
        <v>42309</v>
      </c>
      <c r="J41" s="52">
        <v>60103.92</v>
      </c>
      <c r="K41" s="52">
        <v>55652.37</v>
      </c>
      <c r="L41" s="53">
        <v>15257.22</v>
      </c>
      <c r="M41" s="53">
        <v>16309.61</v>
      </c>
      <c r="N41" s="50">
        <v>16592.82</v>
      </c>
      <c r="O41" s="50">
        <v>16171.72</v>
      </c>
      <c r="P41" s="50">
        <v>10568.74</v>
      </c>
      <c r="Q41" s="50">
        <v>9876.4</v>
      </c>
      <c r="R41" s="50">
        <v>26907.5</v>
      </c>
      <c r="S41" s="50">
        <v>26048.26</v>
      </c>
      <c r="T41" s="50">
        <f>13147.31+1295.88+11595.32</f>
        <v>26038.51</v>
      </c>
      <c r="U41" s="50">
        <f>11880.04+973.54+11985.29</f>
        <v>24838.870000000003</v>
      </c>
      <c r="V41" s="50">
        <f>7514.28-1284.54</f>
        <v>6229.74</v>
      </c>
      <c r="W41" s="50">
        <v>7321.4</v>
      </c>
      <c r="X41" s="50">
        <v>9143.99</v>
      </c>
      <c r="Y41" s="50">
        <v>15308.62</v>
      </c>
      <c r="Z41" s="50"/>
      <c r="AA41" s="50"/>
    </row>
    <row r="42" spans="1:27" x14ac:dyDescent="0.3">
      <c r="A42" s="20"/>
      <c r="B42" s="20"/>
      <c r="C42" s="21"/>
      <c r="D42" s="20"/>
      <c r="E42" s="21"/>
      <c r="F42" s="20"/>
      <c r="I42" s="51">
        <v>42339</v>
      </c>
      <c r="J42" s="52">
        <v>60103.92</v>
      </c>
      <c r="K42" s="52">
        <v>75000.31</v>
      </c>
      <c r="L42" s="53">
        <v>16678.61</v>
      </c>
      <c r="M42" s="53">
        <v>12597.88</v>
      </c>
      <c r="N42" s="50">
        <v>16592.82</v>
      </c>
      <c r="O42" s="50">
        <v>12952.25</v>
      </c>
      <c r="P42" s="50">
        <v>10568.74</v>
      </c>
      <c r="Q42" s="50">
        <v>14324.7</v>
      </c>
      <c r="R42" s="50">
        <v>26907.5</v>
      </c>
      <c r="S42" s="50">
        <v>20380.060000000001</v>
      </c>
      <c r="T42" s="50">
        <f>12229.42-2209.56+1295.88+9815.92-1554.51</f>
        <v>19577.150000000005</v>
      </c>
      <c r="U42" s="50">
        <f>13339.99+898.5+13064.76</f>
        <v>27303.25</v>
      </c>
      <c r="V42" s="50">
        <v>7959.47</v>
      </c>
      <c r="W42" s="50">
        <v>8308.52</v>
      </c>
      <c r="X42" s="50">
        <v>15237.97</v>
      </c>
      <c r="Y42" s="50">
        <v>10217.44</v>
      </c>
      <c r="Z42" s="50"/>
      <c r="AA42" s="50"/>
    </row>
    <row r="43" spans="1:27" ht="27.6" x14ac:dyDescent="0.3">
      <c r="A43" s="147" t="s">
        <v>33</v>
      </c>
      <c r="B43" s="148"/>
      <c r="C43" s="148"/>
      <c r="D43" s="148"/>
      <c r="E43" s="148"/>
      <c r="F43" s="11"/>
      <c r="I43" s="66" t="s">
        <v>58</v>
      </c>
      <c r="J43" s="66"/>
      <c r="K43" s="66">
        <v>49716.36</v>
      </c>
      <c r="L43" s="66"/>
      <c r="M43" s="66">
        <v>14652.47</v>
      </c>
      <c r="N43" s="66"/>
      <c r="O43" s="66">
        <v>14459.71</v>
      </c>
      <c r="P43" s="66"/>
      <c r="Q43" s="66">
        <v>8830.76</v>
      </c>
      <c r="R43" s="66"/>
      <c r="S43" s="66">
        <v>23197.16</v>
      </c>
      <c r="T43" s="66"/>
      <c r="U43" s="66">
        <f>11637.99+1027.39+11469.05</f>
        <v>24134.43</v>
      </c>
      <c r="V43" s="66"/>
      <c r="W43" s="66">
        <f>6788.88</f>
        <v>6788.88</v>
      </c>
      <c r="X43" s="66"/>
      <c r="Y43" s="66">
        <f>12497.22</f>
        <v>12497.22</v>
      </c>
      <c r="Z43" s="50"/>
      <c r="AA43" s="50"/>
    </row>
    <row r="44" spans="1:27" ht="51.75" customHeight="1" x14ac:dyDescent="0.3">
      <c r="A44" s="15" t="s">
        <v>48</v>
      </c>
      <c r="B44" s="24" t="s">
        <v>43</v>
      </c>
      <c r="C44" s="24" t="s">
        <v>44</v>
      </c>
      <c r="D44" s="15" t="s">
        <v>26</v>
      </c>
      <c r="E44" s="30" t="s">
        <v>47</v>
      </c>
      <c r="F44" s="24" t="s">
        <v>34</v>
      </c>
      <c r="I44" s="50"/>
      <c r="J44" s="67">
        <f>SUM(J31:J43)</f>
        <v>612784.06999999995</v>
      </c>
      <c r="K44" s="67">
        <f>SUM(K31:K43)</f>
        <v>498537.58</v>
      </c>
      <c r="L44" s="67">
        <f t="shared" ref="L44:X44" si="2">SUM(L31:L43)</f>
        <v>158473.96000000002</v>
      </c>
      <c r="M44" s="67">
        <f t="shared" si="2"/>
        <v>134836.04</v>
      </c>
      <c r="N44" s="67">
        <f t="shared" si="2"/>
        <v>167813.96000000002</v>
      </c>
      <c r="O44" s="67">
        <f t="shared" si="2"/>
        <v>135867.32</v>
      </c>
      <c r="P44" s="67">
        <f t="shared" si="2"/>
        <v>105687.40000000001</v>
      </c>
      <c r="Q44" s="67">
        <f t="shared" si="2"/>
        <v>89819.909999999989</v>
      </c>
      <c r="R44" s="67">
        <f t="shared" si="2"/>
        <v>295982.5</v>
      </c>
      <c r="S44" s="67">
        <f t="shared" si="2"/>
        <v>214180.06000000003</v>
      </c>
      <c r="T44" s="67">
        <f t="shared" si="2"/>
        <v>214498.30000000002</v>
      </c>
      <c r="U44" s="67">
        <f t="shared" si="2"/>
        <v>212486.77</v>
      </c>
      <c r="V44" s="67">
        <f t="shared" si="2"/>
        <v>67758.409999999989</v>
      </c>
      <c r="W44" s="67">
        <f t="shared" si="2"/>
        <v>73186.150000000009</v>
      </c>
      <c r="X44" s="67">
        <f t="shared" si="2"/>
        <v>188436.91999999998</v>
      </c>
      <c r="Y44" s="67">
        <f>SUM(Y31:Y43)</f>
        <v>138955.72</v>
      </c>
      <c r="Z44" s="50"/>
      <c r="AA44" s="50"/>
    </row>
    <row r="45" spans="1:27" ht="29.25" customHeight="1" x14ac:dyDescent="0.3">
      <c r="A45" s="17">
        <v>40313.12000000001</v>
      </c>
      <c r="B45" s="17">
        <f>T44</f>
        <v>214498.30000000002</v>
      </c>
      <c r="C45" s="17">
        <f>U44</f>
        <v>212486.77</v>
      </c>
      <c r="D45" s="17">
        <f>C45</f>
        <v>212486.77</v>
      </c>
      <c r="E45" s="17">
        <f t="shared" ref="E45:E46" si="3">A45+B45-C45</f>
        <v>42324.650000000052</v>
      </c>
      <c r="F45" s="8" t="s">
        <v>35</v>
      </c>
      <c r="I45" s="50"/>
      <c r="J45" s="52"/>
      <c r="K45" s="52"/>
      <c r="L45" s="53"/>
      <c r="M45" s="53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48"/>
      <c r="AA45" s="48"/>
    </row>
    <row r="46" spans="1:27" ht="27" customHeight="1" x14ac:dyDescent="0.3">
      <c r="A46" s="17">
        <v>19711.359999999993</v>
      </c>
      <c r="B46" s="17">
        <f>V44</f>
        <v>67758.409999999989</v>
      </c>
      <c r="C46" s="17">
        <f>W44</f>
        <v>73186.150000000009</v>
      </c>
      <c r="D46" s="17">
        <f t="shared" ref="D46:D47" si="4">C46</f>
        <v>73186.150000000009</v>
      </c>
      <c r="E46" s="17">
        <f t="shared" si="3"/>
        <v>14283.619999999981</v>
      </c>
      <c r="F46" s="8" t="s">
        <v>36</v>
      </c>
      <c r="G46" s="34"/>
      <c r="H46" s="34"/>
      <c r="I46" s="48"/>
      <c r="J46" s="35">
        <f>'[1]2015риц'!A42</f>
        <v>360587.42000000004</v>
      </c>
      <c r="K46" s="35">
        <f>'[1]2015риц'!B42</f>
        <v>363144.16</v>
      </c>
      <c r="L46" s="68"/>
      <c r="M46" s="6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</row>
    <row r="47" spans="1:27" ht="34.5" customHeight="1" x14ac:dyDescent="0.3">
      <c r="A47" s="17"/>
      <c r="B47" s="17">
        <f>X44</f>
        <v>188436.91999999998</v>
      </c>
      <c r="C47" s="17">
        <f>Y44</f>
        <v>138955.72</v>
      </c>
      <c r="D47" s="17">
        <f t="shared" si="4"/>
        <v>138955.72</v>
      </c>
      <c r="E47" s="17">
        <v>-25153.97</v>
      </c>
      <c r="F47" s="33" t="s">
        <v>45</v>
      </c>
      <c r="I47" s="48"/>
      <c r="J47" s="35">
        <f>J46+J44</f>
        <v>973371.49</v>
      </c>
      <c r="K47" s="35">
        <f>K46+K44</f>
        <v>861681.74</v>
      </c>
      <c r="L47" s="68"/>
      <c r="M47" s="6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</row>
    <row r="48" spans="1:27" x14ac:dyDescent="0.3">
      <c r="A48" s="18">
        <f>A45+A46</f>
        <v>60024.480000000003</v>
      </c>
      <c r="B48" s="18">
        <f>SUM(B45:B47)</f>
        <v>470693.63</v>
      </c>
      <c r="C48" s="18">
        <f t="shared" ref="C48:E48" si="5">SUM(C45:C47)</f>
        <v>424628.64</v>
      </c>
      <c r="D48" s="18">
        <f t="shared" si="5"/>
        <v>424628.64</v>
      </c>
      <c r="E48" s="18">
        <f t="shared" si="5"/>
        <v>31454.300000000032</v>
      </c>
      <c r="F48" s="19" t="s">
        <v>32</v>
      </c>
      <c r="I48" s="48"/>
      <c r="J48" s="35">
        <f>J47+R44</f>
        <v>1269353.99</v>
      </c>
      <c r="K48" s="48"/>
      <c r="L48" s="68"/>
      <c r="M48" s="6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</row>
    <row r="49" spans="9:27" x14ac:dyDescent="0.3"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</row>
    <row r="50" spans="9:27" x14ac:dyDescent="0.3"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</row>
    <row r="51" spans="9:27" x14ac:dyDescent="0.3"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</row>
    <row r="52" spans="9:27" x14ac:dyDescent="0.3"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</row>
    <row r="53" spans="9:27" x14ac:dyDescent="0.3"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</row>
    <row r="54" spans="9:27" x14ac:dyDescent="0.3"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</row>
    <row r="55" spans="9:27" x14ac:dyDescent="0.3"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</row>
    <row r="56" spans="9:27" x14ac:dyDescent="0.3"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</row>
    <row r="57" spans="9:27" x14ac:dyDescent="0.3"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9:27" x14ac:dyDescent="0.3"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  <row r="59" spans="9:27" x14ac:dyDescent="0.3"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</row>
    <row r="60" spans="9:27" x14ac:dyDescent="0.3"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</row>
    <row r="61" spans="9:27" x14ac:dyDescent="0.3"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</row>
    <row r="62" spans="9:27" x14ac:dyDescent="0.3"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</row>
    <row r="63" spans="9:27" x14ac:dyDescent="0.3"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</row>
    <row r="64" spans="9:27" x14ac:dyDescent="0.3"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</row>
    <row r="65" spans="9:27" x14ac:dyDescent="0.3"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</row>
    <row r="66" spans="9:27" x14ac:dyDescent="0.3"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</row>
    <row r="67" spans="9:27" x14ac:dyDescent="0.3"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</row>
    <row r="68" spans="9:27" x14ac:dyDescent="0.3">
      <c r="I68" s="48"/>
      <c r="J68" s="48" t="s">
        <v>50</v>
      </c>
      <c r="K68" s="48"/>
      <c r="L68" s="48" t="s">
        <v>51</v>
      </c>
      <c r="M68" s="48"/>
      <c r="N68" s="48" t="s">
        <v>52</v>
      </c>
      <c r="O68" s="48"/>
      <c r="P68" s="48" t="s">
        <v>53</v>
      </c>
      <c r="Q68" s="48"/>
      <c r="R68" s="48" t="s">
        <v>54</v>
      </c>
      <c r="S68" s="48"/>
      <c r="T68" s="48" t="s">
        <v>55</v>
      </c>
      <c r="U68" s="48"/>
      <c r="V68" s="48" t="s">
        <v>56</v>
      </c>
      <c r="W68" s="48"/>
      <c r="X68" s="48" t="s">
        <v>57</v>
      </c>
      <c r="Y68" s="48"/>
      <c r="Z68" s="48"/>
      <c r="AA68" s="48"/>
    </row>
    <row r="69" spans="9:27" x14ac:dyDescent="0.3">
      <c r="I69" s="49">
        <v>42005</v>
      </c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</row>
    <row r="70" spans="9:27" x14ac:dyDescent="0.3">
      <c r="I70" s="49">
        <v>42036</v>
      </c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</row>
    <row r="71" spans="9:27" x14ac:dyDescent="0.3">
      <c r="I71" s="49">
        <v>42064</v>
      </c>
      <c r="J71" s="48">
        <v>87113.04</v>
      </c>
      <c r="K71" s="48"/>
      <c r="L71" s="48">
        <v>25409.21</v>
      </c>
      <c r="M71" s="48"/>
      <c r="N71" s="48">
        <v>25500.69</v>
      </c>
      <c r="O71" s="48"/>
      <c r="P71" s="48">
        <v>25933.5</v>
      </c>
      <c r="Q71" s="48"/>
      <c r="R71" s="48">
        <v>32264.799999999999</v>
      </c>
      <c r="S71" s="48"/>
      <c r="T71" s="48">
        <v>42114.42</v>
      </c>
      <c r="U71" s="48"/>
      <c r="V71" s="48">
        <v>13614.36</v>
      </c>
      <c r="W71" s="48"/>
      <c r="X71" s="48">
        <v>56424.45</v>
      </c>
      <c r="Y71" s="48"/>
      <c r="Z71" s="48"/>
      <c r="AA71" s="48"/>
    </row>
    <row r="72" spans="9:27" ht="15" customHeight="1" x14ac:dyDescent="0.3">
      <c r="I72" s="49">
        <v>42095</v>
      </c>
      <c r="J72" s="48">
        <v>87109.97</v>
      </c>
      <c r="K72" s="48">
        <v>56397.02</v>
      </c>
      <c r="L72" s="48">
        <v>25408.26</v>
      </c>
      <c r="M72" s="48">
        <v>17316.21</v>
      </c>
      <c r="N72" s="48">
        <v>25499.8</v>
      </c>
      <c r="O72" s="48">
        <v>16381.44</v>
      </c>
      <c r="P72" s="48">
        <v>26016</v>
      </c>
      <c r="Q72" s="48">
        <v>16491.240000000002</v>
      </c>
      <c r="R72" s="48">
        <v>32152.400000000001</v>
      </c>
      <c r="S72" s="48">
        <v>21988.14</v>
      </c>
      <c r="T72" s="48">
        <v>45842.96</v>
      </c>
      <c r="U72" s="48">
        <v>21232.93</v>
      </c>
      <c r="V72" s="48">
        <v>13664.01</v>
      </c>
      <c r="W72" s="48">
        <v>11611.49</v>
      </c>
      <c r="X72" s="48">
        <v>20624.25</v>
      </c>
      <c r="Y72" s="48">
        <v>31813.39</v>
      </c>
      <c r="Z72" s="48"/>
      <c r="AA72" s="48"/>
    </row>
    <row r="73" spans="9:27" x14ac:dyDescent="0.3">
      <c r="I73" s="49">
        <v>42125</v>
      </c>
      <c r="J73" s="48">
        <v>87273.11</v>
      </c>
      <c r="K73" s="48">
        <v>77890.179999999993</v>
      </c>
      <c r="L73" s="48">
        <v>25184.87</v>
      </c>
      <c r="M73" s="48">
        <v>23914.49</v>
      </c>
      <c r="N73" s="48">
        <v>25547.18</v>
      </c>
      <c r="O73" s="48">
        <v>22623.599999999999</v>
      </c>
      <c r="P73" s="48">
        <v>26075.7</v>
      </c>
      <c r="Q73" s="48">
        <v>22775.13</v>
      </c>
      <c r="R73" s="48">
        <v>32454.400000000001</v>
      </c>
      <c r="S73" s="48">
        <v>30366.77</v>
      </c>
      <c r="T73" s="48">
        <v>31890.35</v>
      </c>
      <c r="U73" s="48">
        <v>41227.129999999997</v>
      </c>
      <c r="V73" s="48">
        <v>10648.47</v>
      </c>
      <c r="W73" s="48">
        <v>14490.77</v>
      </c>
      <c r="X73" s="48">
        <v>11562.58</v>
      </c>
      <c r="Y73" s="48">
        <v>26032.37</v>
      </c>
      <c r="Z73" s="48"/>
      <c r="AA73" s="48"/>
    </row>
    <row r="74" spans="9:27" x14ac:dyDescent="0.3">
      <c r="I74" s="49">
        <v>42156</v>
      </c>
      <c r="J74" s="48">
        <v>87273.11</v>
      </c>
      <c r="K74" s="48">
        <v>75129.16</v>
      </c>
      <c r="L74" s="48">
        <v>25458.34</v>
      </c>
      <c r="M74" s="48">
        <v>22873.61</v>
      </c>
      <c r="N74" s="48">
        <v>25547.18</v>
      </c>
      <c r="O74" s="48">
        <v>21821.4</v>
      </c>
      <c r="P74" s="48">
        <v>25980.3</v>
      </c>
      <c r="Q74" s="48">
        <v>21967.65</v>
      </c>
      <c r="R74" s="48">
        <v>32327.200000000001</v>
      </c>
      <c r="S74" s="48">
        <v>29290.2</v>
      </c>
      <c r="T74" s="48">
        <v>33828.199999999997</v>
      </c>
      <c r="U74" s="48">
        <v>23672.54</v>
      </c>
      <c r="V74" s="48">
        <v>11920.19</v>
      </c>
      <c r="W74" s="48">
        <v>44464.49</v>
      </c>
      <c r="X74" s="48">
        <v>56442.99</v>
      </c>
      <c r="Y74" s="48">
        <v>13148.98</v>
      </c>
      <c r="Z74" s="48"/>
      <c r="AA74" s="48"/>
    </row>
    <row r="75" spans="9:27" x14ac:dyDescent="0.3">
      <c r="I75" s="49">
        <v>42186</v>
      </c>
      <c r="J75" s="48">
        <v>87273.11</v>
      </c>
      <c r="K75" s="48">
        <v>69851.16</v>
      </c>
      <c r="L75" s="48">
        <v>25458.34</v>
      </c>
      <c r="M75" s="48">
        <v>21410.01</v>
      </c>
      <c r="N75" s="48">
        <v>25547.18</v>
      </c>
      <c r="O75" s="48">
        <v>20288.43</v>
      </c>
      <c r="P75" s="48">
        <v>25980.3</v>
      </c>
      <c r="Q75" s="48">
        <v>20424.32</v>
      </c>
      <c r="R75" s="48">
        <v>32327.200000000001</v>
      </c>
      <c r="S75" s="48">
        <v>27232.45</v>
      </c>
      <c r="T75" s="48">
        <v>14164.38</v>
      </c>
      <c r="U75" s="48">
        <v>35127.24</v>
      </c>
      <c r="V75" s="48">
        <v>7662.61</v>
      </c>
      <c r="W75" s="48">
        <v>16779.27</v>
      </c>
      <c r="X75" s="48">
        <v>45916.36</v>
      </c>
      <c r="Y75" s="48">
        <v>39517.25</v>
      </c>
      <c r="Z75" s="48"/>
      <c r="AA75" s="48"/>
    </row>
    <row r="76" spans="9:27" x14ac:dyDescent="0.3">
      <c r="I76" s="49">
        <v>42217</v>
      </c>
      <c r="J76" s="48">
        <v>87273.11</v>
      </c>
      <c r="K76" s="48">
        <v>74711.69</v>
      </c>
      <c r="L76" s="48">
        <v>23543.06</v>
      </c>
      <c r="M76" s="48">
        <v>22927.06</v>
      </c>
      <c r="N76" s="48">
        <v>25547.18</v>
      </c>
      <c r="O76" s="48">
        <v>21700.16</v>
      </c>
      <c r="P76" s="48">
        <v>25980.3</v>
      </c>
      <c r="Q76" s="48">
        <v>21845.58</v>
      </c>
      <c r="R76" s="48">
        <v>32327.200000000001</v>
      </c>
      <c r="S76" s="48">
        <v>29127.48</v>
      </c>
      <c r="T76" s="48">
        <v>21761.66</v>
      </c>
      <c r="U76" s="48">
        <v>25809.52</v>
      </c>
      <c r="V76" s="48">
        <v>-36703.75</v>
      </c>
      <c r="W76" s="48">
        <v>11026.17</v>
      </c>
      <c r="X76" s="48">
        <v>49165.68</v>
      </c>
      <c r="Y76" s="48">
        <v>36900.089999999997</v>
      </c>
      <c r="Z76" s="48"/>
      <c r="AA76" s="48"/>
    </row>
    <row r="77" spans="9:27" x14ac:dyDescent="0.3">
      <c r="I77" s="49">
        <v>42248</v>
      </c>
      <c r="J77" s="48">
        <v>87273.11</v>
      </c>
      <c r="K77" s="48">
        <v>71800.84</v>
      </c>
      <c r="L77" s="48">
        <v>23497.1</v>
      </c>
      <c r="M77" s="48">
        <v>20778.52</v>
      </c>
      <c r="N77" s="48">
        <v>25547.18</v>
      </c>
      <c r="O77" s="48">
        <v>20854.919999999998</v>
      </c>
      <c r="P77" s="48">
        <v>25980.3</v>
      </c>
      <c r="Q77" s="48">
        <v>20994.52</v>
      </c>
      <c r="R77" s="48">
        <v>32327.200000000001</v>
      </c>
      <c r="S77" s="48">
        <v>27992.65</v>
      </c>
      <c r="T77" s="48">
        <v>48988.55</v>
      </c>
      <c r="U77" s="48">
        <v>22772.98</v>
      </c>
      <c r="V77" s="48">
        <v>103126.07</v>
      </c>
      <c r="W77" s="48">
        <v>103114.68</v>
      </c>
      <c r="X77" s="48">
        <v>15375.72</v>
      </c>
      <c r="Y77" s="48">
        <v>41148.720000000001</v>
      </c>
      <c r="Z77" s="48"/>
      <c r="AA77" s="48"/>
    </row>
    <row r="78" spans="9:27" x14ac:dyDescent="0.3">
      <c r="I78" s="49">
        <v>42278</v>
      </c>
      <c r="J78" s="48">
        <v>87273.11</v>
      </c>
      <c r="K78" s="48">
        <v>74878.11</v>
      </c>
      <c r="L78" s="48">
        <v>24322.59</v>
      </c>
      <c r="M78" s="48">
        <v>21530.57</v>
      </c>
      <c r="N78" s="48">
        <v>25547.18</v>
      </c>
      <c r="O78" s="48">
        <v>21748.47</v>
      </c>
      <c r="P78" s="48">
        <v>25980.3</v>
      </c>
      <c r="Q78" s="48">
        <v>21894.21</v>
      </c>
      <c r="R78" s="48">
        <v>32327.200000000001</v>
      </c>
      <c r="S78" s="48">
        <v>29192.32</v>
      </c>
      <c r="T78" s="48">
        <v>41938</v>
      </c>
      <c r="U78" s="48">
        <v>40646.629999999997</v>
      </c>
      <c r="V78" s="48">
        <v>89530.31</v>
      </c>
      <c r="W78" s="48">
        <v>66369.08</v>
      </c>
      <c r="X78" s="48">
        <v>16988.18</v>
      </c>
      <c r="Y78" s="48">
        <v>21095.22</v>
      </c>
      <c r="Z78" s="48"/>
      <c r="AA78" s="48"/>
    </row>
    <row r="79" spans="9:27" x14ac:dyDescent="0.3">
      <c r="I79" s="49">
        <v>42309</v>
      </c>
      <c r="J79" s="48">
        <v>87273.11</v>
      </c>
      <c r="K79" s="48">
        <v>104961.77</v>
      </c>
      <c r="L79" s="48">
        <v>25175.55</v>
      </c>
      <c r="M79" s="48">
        <v>22801.96</v>
      </c>
      <c r="N79" s="48">
        <v>25547.18</v>
      </c>
      <c r="O79" s="48">
        <v>28477.14</v>
      </c>
      <c r="P79" s="48">
        <v>25980.3</v>
      </c>
      <c r="Q79" s="48">
        <v>33138.9</v>
      </c>
      <c r="R79" s="48">
        <v>32327.200000000001</v>
      </c>
      <c r="S79" s="48">
        <v>30053.7</v>
      </c>
      <c r="T79" s="48">
        <v>41945.56</v>
      </c>
      <c r="U79" s="48">
        <v>29054.2</v>
      </c>
      <c r="V79" s="48">
        <v>104060.31</v>
      </c>
      <c r="W79" s="48">
        <v>59447.49</v>
      </c>
      <c r="X79" s="48">
        <v>12500.35</v>
      </c>
      <c r="Y79" s="48">
        <v>18192.509999999998</v>
      </c>
      <c r="Z79" s="48"/>
      <c r="AA79" s="48"/>
    </row>
    <row r="80" spans="9:27" x14ac:dyDescent="0.3">
      <c r="I80" s="49">
        <v>42339</v>
      </c>
      <c r="J80" s="48">
        <v>87109.97</v>
      </c>
      <c r="K80" s="48">
        <v>93311.11</v>
      </c>
      <c r="L80" s="48">
        <v>25134.57</v>
      </c>
      <c r="M80" s="48">
        <v>20680.21</v>
      </c>
      <c r="N80" s="48">
        <v>25499.8</v>
      </c>
      <c r="O80" s="48">
        <v>21138.93</v>
      </c>
      <c r="P80" s="48">
        <v>25932.6</v>
      </c>
      <c r="Q80" s="48">
        <v>31987.37</v>
      </c>
      <c r="R80" s="48">
        <v>32263.599999999999</v>
      </c>
      <c r="S80" s="48">
        <v>27327.83</v>
      </c>
      <c r="T80" s="48">
        <v>63696.480000000003</v>
      </c>
      <c r="U80" s="48">
        <v>39783.949999999997</v>
      </c>
      <c r="V80" s="48">
        <v>84372.23</v>
      </c>
      <c r="W80" s="48">
        <v>63207.74</v>
      </c>
      <c r="X80" s="48">
        <v>14438.14</v>
      </c>
      <c r="Y80" s="48">
        <v>21081.439999999999</v>
      </c>
      <c r="Z80" s="48"/>
      <c r="AA80" s="48"/>
    </row>
    <row r="81" spans="9:27" ht="28.8" x14ac:dyDescent="0.3">
      <c r="I81" s="49" t="s">
        <v>58</v>
      </c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</row>
    <row r="82" spans="9:27" x14ac:dyDescent="0.3">
      <c r="I82" s="49"/>
      <c r="J82" s="48">
        <v>872244.75</v>
      </c>
      <c r="K82" s="48">
        <v>698931.04</v>
      </c>
      <c r="L82" s="48">
        <v>248591.89</v>
      </c>
      <c r="M82" s="48">
        <v>194232.64</v>
      </c>
      <c r="N82" s="48">
        <v>255330.55</v>
      </c>
      <c r="O82" s="48">
        <v>195034.49</v>
      </c>
      <c r="P82" s="48">
        <v>259839.6</v>
      </c>
      <c r="Q82" s="48">
        <v>211518.92</v>
      </c>
      <c r="R82" s="48">
        <v>323098.40000000002</v>
      </c>
      <c r="S82" s="48">
        <v>252571.54</v>
      </c>
      <c r="T82" s="48">
        <v>386170.56</v>
      </c>
      <c r="U82" s="48">
        <v>279327.12</v>
      </c>
      <c r="V82" s="48">
        <v>401894.81</v>
      </c>
      <c r="W82" s="48">
        <v>390511.18</v>
      </c>
      <c r="X82" s="48">
        <v>299438.7</v>
      </c>
      <c r="Y82" s="48">
        <v>248929.97</v>
      </c>
      <c r="Z82" s="48"/>
      <c r="AA82" s="48"/>
    </row>
    <row r="83" spans="9:27" x14ac:dyDescent="0.3">
      <c r="I83" s="49"/>
      <c r="J83" s="48">
        <v>218112.3</v>
      </c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</row>
    <row r="84" spans="9:27" x14ac:dyDescent="0.3">
      <c r="I84" s="49"/>
      <c r="J84" s="48">
        <v>1090357.05</v>
      </c>
      <c r="K84" s="48">
        <v>0</v>
      </c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</row>
    <row r="85" spans="9:27" ht="15" customHeight="1" x14ac:dyDescent="0.3">
      <c r="I85" s="48"/>
      <c r="J85" s="48"/>
      <c r="K85" s="48">
        <v>698931.04</v>
      </c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</row>
    <row r="86" spans="9:27" x14ac:dyDescent="0.3"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</row>
    <row r="87" spans="9:27" x14ac:dyDescent="0.3"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</row>
    <row r="88" spans="9:27" x14ac:dyDescent="0.3"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</row>
    <row r="89" spans="9:27" x14ac:dyDescent="0.3"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</row>
    <row r="90" spans="9:27" x14ac:dyDescent="0.3"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</row>
    <row r="91" spans="9:27" x14ac:dyDescent="0.3"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</row>
    <row r="92" spans="9:27" x14ac:dyDescent="0.3"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</row>
    <row r="93" spans="9:27" x14ac:dyDescent="0.3"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</row>
    <row r="94" spans="9:27" x14ac:dyDescent="0.3"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</row>
    <row r="95" spans="9:27" x14ac:dyDescent="0.3"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</row>
    <row r="96" spans="9:27" x14ac:dyDescent="0.3"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</row>
    <row r="97" spans="9:27" x14ac:dyDescent="0.3"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</row>
    <row r="98" spans="9:27" x14ac:dyDescent="0.3"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</row>
  </sheetData>
  <mergeCells count="34">
    <mergeCell ref="C7:D7"/>
    <mergeCell ref="A1:D1"/>
    <mergeCell ref="A3:D3"/>
    <mergeCell ref="C4:D4"/>
    <mergeCell ref="C5:D5"/>
    <mergeCell ref="C6:D6"/>
    <mergeCell ref="A20:D20"/>
    <mergeCell ref="C8:D8"/>
    <mergeCell ref="C9:D9"/>
    <mergeCell ref="C10:D10"/>
    <mergeCell ref="C11:D11"/>
    <mergeCell ref="C12:D12"/>
    <mergeCell ref="C13:D13"/>
    <mergeCell ref="C14:D14"/>
    <mergeCell ref="C15:D15"/>
    <mergeCell ref="A17:D17"/>
    <mergeCell ref="C18:D18"/>
    <mergeCell ref="A19:D19"/>
    <mergeCell ref="A35:F35"/>
    <mergeCell ref="A43:E43"/>
    <mergeCell ref="A21:A23"/>
    <mergeCell ref="B21:B23"/>
    <mergeCell ref="A25:F25"/>
    <mergeCell ref="A26:F26"/>
    <mergeCell ref="A27:F27"/>
    <mergeCell ref="A28:F28"/>
    <mergeCell ref="T30:U30"/>
    <mergeCell ref="V30:W30"/>
    <mergeCell ref="X30:Y30"/>
    <mergeCell ref="J30:K30"/>
    <mergeCell ref="L30:M30"/>
    <mergeCell ref="N30:O30"/>
    <mergeCell ref="P30:Q30"/>
    <mergeCell ref="R30:S30"/>
  </mergeCells>
  <pageMargins left="0.31496062992125984" right="0.11811023622047245" top="0.74803149606299213" bottom="0.74803149606299213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19" workbookViewId="0">
      <selection activeCell="E47" sqref="E47"/>
    </sheetView>
  </sheetViews>
  <sheetFormatPr defaultColWidth="9.109375" defaultRowHeight="14.4" x14ac:dyDescent="0.3"/>
  <cols>
    <col min="1" max="1" width="14.6640625" style="3" customWidth="1"/>
    <col min="2" max="2" width="17" style="38" customWidth="1"/>
    <col min="3" max="3" width="14" style="38" customWidth="1"/>
    <col min="4" max="4" width="12.6640625" style="38" customWidth="1"/>
    <col min="5" max="5" width="16.109375" style="38" customWidth="1"/>
    <col min="6" max="6" width="20.109375" style="38" customWidth="1"/>
    <col min="7" max="7" width="10.5546875" style="38" bestFit="1" customWidth="1"/>
    <col min="8" max="16384" width="9.109375" style="38"/>
  </cols>
  <sheetData>
    <row r="1" spans="1:6" ht="18" x14ac:dyDescent="0.35">
      <c r="A1" s="134" t="s">
        <v>19</v>
      </c>
      <c r="B1" s="134"/>
      <c r="C1" s="134"/>
      <c r="D1" s="134"/>
    </row>
    <row r="2" spans="1:6" ht="18" x14ac:dyDescent="0.35">
      <c r="A2" s="40"/>
      <c r="B2" s="40"/>
      <c r="C2" s="40"/>
      <c r="D2" s="40"/>
    </row>
    <row r="3" spans="1:6" ht="24" customHeight="1" x14ac:dyDescent="0.3">
      <c r="A3" s="135" t="s">
        <v>17</v>
      </c>
      <c r="B3" s="135"/>
      <c r="C3" s="135"/>
      <c r="D3" s="135"/>
      <c r="E3" s="37"/>
      <c r="F3" s="37"/>
    </row>
    <row r="4" spans="1:6" x14ac:dyDescent="0.3">
      <c r="A4" s="7">
        <v>1</v>
      </c>
      <c r="B4" s="8" t="s">
        <v>0</v>
      </c>
      <c r="C4" s="139">
        <v>2009</v>
      </c>
      <c r="D4" s="139"/>
      <c r="E4" s="37"/>
      <c r="F4" s="37"/>
    </row>
    <row r="5" spans="1:6" x14ac:dyDescent="0.3">
      <c r="A5" s="7">
        <v>2</v>
      </c>
      <c r="B5" s="8" t="s">
        <v>1</v>
      </c>
      <c r="C5" s="139">
        <v>14</v>
      </c>
      <c r="D5" s="139"/>
      <c r="E5" s="37"/>
      <c r="F5" s="37"/>
    </row>
    <row r="6" spans="1:6" x14ac:dyDescent="0.3">
      <c r="A6" s="7">
        <v>3</v>
      </c>
      <c r="B6" s="8" t="s">
        <v>2</v>
      </c>
      <c r="C6" s="139">
        <v>104</v>
      </c>
      <c r="D6" s="139"/>
      <c r="E6" s="37"/>
      <c r="F6" s="37"/>
    </row>
    <row r="7" spans="1:6" ht="21.6" x14ac:dyDescent="0.3">
      <c r="A7" s="7">
        <v>4</v>
      </c>
      <c r="B7" s="8" t="s">
        <v>3</v>
      </c>
      <c r="C7" s="139">
        <v>5379.4</v>
      </c>
      <c r="D7" s="139"/>
      <c r="E7" s="37"/>
      <c r="F7" s="37"/>
    </row>
    <row r="8" spans="1:6" ht="21.6" x14ac:dyDescent="0.3">
      <c r="A8" s="7">
        <v>5</v>
      </c>
      <c r="B8" s="8" t="s">
        <v>4</v>
      </c>
      <c r="C8" s="139">
        <v>1540.8</v>
      </c>
      <c r="D8" s="139"/>
      <c r="E8" s="37"/>
      <c r="F8" s="37"/>
    </row>
    <row r="9" spans="1:6" ht="21.6" x14ac:dyDescent="0.3">
      <c r="A9" s="7">
        <v>6</v>
      </c>
      <c r="B9" s="8" t="s">
        <v>15</v>
      </c>
      <c r="C9" s="139">
        <v>1818.6</v>
      </c>
      <c r="D9" s="139"/>
      <c r="E9" s="37"/>
      <c r="F9" s="37"/>
    </row>
    <row r="10" spans="1:6" ht="46.5" customHeight="1" x14ac:dyDescent="0.3">
      <c r="A10" s="7">
        <v>7</v>
      </c>
      <c r="B10" s="8" t="s">
        <v>5</v>
      </c>
      <c r="C10" s="140" t="s">
        <v>11</v>
      </c>
      <c r="D10" s="141"/>
      <c r="E10" s="37"/>
      <c r="F10" s="37"/>
    </row>
    <row r="11" spans="1:6" x14ac:dyDescent="0.3">
      <c r="A11" s="7">
        <v>8</v>
      </c>
      <c r="B11" s="8" t="s">
        <v>6</v>
      </c>
      <c r="C11" s="139" t="s">
        <v>20</v>
      </c>
      <c r="D11" s="139"/>
      <c r="E11" s="37"/>
      <c r="F11" s="37"/>
    </row>
    <row r="12" spans="1:6" x14ac:dyDescent="0.3">
      <c r="A12" s="7">
        <v>9</v>
      </c>
      <c r="B12" s="8" t="s">
        <v>7</v>
      </c>
      <c r="C12" s="142" t="s">
        <v>10</v>
      </c>
      <c r="D12" s="142"/>
      <c r="E12" s="37"/>
      <c r="F12" s="37"/>
    </row>
    <row r="13" spans="1:6" ht="45" customHeight="1" x14ac:dyDescent="0.3">
      <c r="A13" s="7">
        <v>10</v>
      </c>
      <c r="B13" s="8" t="s">
        <v>8</v>
      </c>
      <c r="C13" s="142" t="s">
        <v>10</v>
      </c>
      <c r="D13" s="142"/>
      <c r="E13" s="37"/>
      <c r="F13" s="37"/>
    </row>
    <row r="14" spans="1:6" ht="35.25" customHeight="1" x14ac:dyDescent="0.3">
      <c r="A14" s="7">
        <v>11</v>
      </c>
      <c r="B14" s="8" t="s">
        <v>13</v>
      </c>
      <c r="C14" s="143" t="s">
        <v>21</v>
      </c>
      <c r="D14" s="144"/>
      <c r="E14" s="37"/>
      <c r="F14" s="37"/>
    </row>
    <row r="15" spans="1:6" ht="44.25" customHeight="1" x14ac:dyDescent="0.3">
      <c r="A15" s="7">
        <v>12</v>
      </c>
      <c r="B15" s="8" t="s">
        <v>16</v>
      </c>
      <c r="C15" s="145" t="s">
        <v>9</v>
      </c>
      <c r="D15" s="146"/>
      <c r="E15" s="37"/>
      <c r="F15" s="37"/>
    </row>
    <row r="16" spans="1:6" ht="29.25" customHeight="1" x14ac:dyDescent="0.3">
      <c r="A16" s="9"/>
      <c r="B16" s="10"/>
      <c r="C16" s="10"/>
      <c r="D16" s="37"/>
      <c r="E16" s="37"/>
      <c r="F16" s="37"/>
    </row>
    <row r="17" spans="1:6" ht="22.5" customHeight="1" x14ac:dyDescent="0.3">
      <c r="A17" s="135" t="s">
        <v>18</v>
      </c>
      <c r="B17" s="135"/>
      <c r="C17" s="135"/>
      <c r="D17" s="135"/>
      <c r="E17" s="37"/>
      <c r="F17" s="37"/>
    </row>
    <row r="18" spans="1:6" s="29" customFormat="1" ht="42" x14ac:dyDescent="0.3">
      <c r="A18" s="42">
        <v>1</v>
      </c>
      <c r="B18" s="47" t="s">
        <v>12</v>
      </c>
      <c r="C18" s="165" t="s">
        <v>60</v>
      </c>
      <c r="D18" s="165"/>
      <c r="E18" s="28"/>
      <c r="F18" s="28"/>
    </row>
    <row r="19" spans="1:6" ht="21.75" customHeight="1" x14ac:dyDescent="0.3">
      <c r="A19" s="136"/>
      <c r="B19" s="136"/>
      <c r="C19" s="136"/>
      <c r="D19" s="136"/>
      <c r="E19" s="37"/>
      <c r="F19" s="37"/>
    </row>
    <row r="20" spans="1:6" ht="25.5" customHeight="1" x14ac:dyDescent="0.3">
      <c r="A20" s="135" t="s">
        <v>41</v>
      </c>
      <c r="B20" s="135"/>
      <c r="C20" s="135"/>
      <c r="D20" s="135"/>
      <c r="E20" s="37"/>
      <c r="F20" s="37"/>
    </row>
    <row r="21" spans="1:6" s="29" customFormat="1" x14ac:dyDescent="0.3">
      <c r="A21" s="46"/>
      <c r="B21" s="46"/>
      <c r="C21" s="41"/>
      <c r="D21" s="41"/>
      <c r="E21" s="28"/>
      <c r="F21" s="28"/>
    </row>
    <row r="22" spans="1:6" s="29" customFormat="1" x14ac:dyDescent="0.3">
      <c r="A22" s="46"/>
      <c r="B22" s="46"/>
      <c r="C22" s="41"/>
      <c r="D22" s="41"/>
      <c r="E22" s="28"/>
      <c r="F22" s="28"/>
    </row>
    <row r="23" spans="1:6" x14ac:dyDescent="0.3">
      <c r="A23" s="9"/>
      <c r="B23" s="37"/>
      <c r="C23" s="37"/>
      <c r="D23" s="37"/>
      <c r="E23" s="37"/>
      <c r="F23" s="37"/>
    </row>
    <row r="24" spans="1:6" ht="15" customHeight="1" x14ac:dyDescent="0.3">
      <c r="A24" s="132" t="s">
        <v>22</v>
      </c>
      <c r="B24" s="133"/>
      <c r="C24" s="133"/>
      <c r="D24" s="133"/>
      <c r="E24" s="133"/>
      <c r="F24" s="133"/>
    </row>
    <row r="25" spans="1:6" ht="15" customHeight="1" x14ac:dyDescent="0.3">
      <c r="A25" s="154" t="s">
        <v>23</v>
      </c>
      <c r="B25" s="133"/>
      <c r="C25" s="133"/>
      <c r="D25" s="133"/>
      <c r="E25" s="133"/>
      <c r="F25" s="133"/>
    </row>
    <row r="26" spans="1:6" ht="53.25" customHeight="1" x14ac:dyDescent="0.3">
      <c r="A26" s="153" t="s">
        <v>42</v>
      </c>
      <c r="B26" s="133"/>
      <c r="C26" s="133"/>
      <c r="D26" s="133"/>
      <c r="E26" s="133"/>
      <c r="F26" s="133"/>
    </row>
    <row r="27" spans="1:6" x14ac:dyDescent="0.3">
      <c r="A27" s="149" t="s">
        <v>24</v>
      </c>
      <c r="B27" s="150"/>
      <c r="C27" s="150"/>
      <c r="D27" s="150"/>
      <c r="E27" s="150"/>
      <c r="F27" s="150"/>
    </row>
    <row r="28" spans="1:6" x14ac:dyDescent="0.3">
      <c r="A28" s="11"/>
      <c r="B28" s="12"/>
      <c r="C28" s="36"/>
      <c r="D28" s="14"/>
      <c r="E28" s="36"/>
      <c r="F28" s="36"/>
    </row>
    <row r="29" spans="1:6" x14ac:dyDescent="0.3">
      <c r="A29" s="11" t="s">
        <v>37</v>
      </c>
      <c r="B29" s="12"/>
      <c r="C29" s="36"/>
      <c r="D29" s="14"/>
      <c r="E29" s="36"/>
      <c r="F29" s="36"/>
    </row>
    <row r="30" spans="1:6" x14ac:dyDescent="0.3">
      <c r="A30" s="11" t="s">
        <v>38</v>
      </c>
      <c r="B30" s="12"/>
      <c r="C30" s="36"/>
      <c r="D30" s="14"/>
      <c r="E30" s="36"/>
      <c r="F30" s="36"/>
    </row>
    <row r="31" spans="1:6" x14ac:dyDescent="0.3">
      <c r="A31" s="11" t="s">
        <v>39</v>
      </c>
      <c r="B31" s="12"/>
      <c r="C31" s="36"/>
      <c r="D31" s="14"/>
      <c r="E31" s="36"/>
      <c r="F31" s="36"/>
    </row>
    <row r="32" spans="1:6" x14ac:dyDescent="0.3">
      <c r="A32" s="11" t="s">
        <v>40</v>
      </c>
      <c r="B32" s="12"/>
      <c r="C32" s="36"/>
      <c r="D32" s="14"/>
      <c r="E32" s="36"/>
      <c r="F32" s="36"/>
    </row>
    <row r="33" spans="1:14" x14ac:dyDescent="0.3">
      <c r="A33" s="11"/>
      <c r="B33" s="12"/>
      <c r="C33" s="36"/>
      <c r="D33" s="14"/>
      <c r="E33" s="36"/>
      <c r="F33" s="36"/>
    </row>
    <row r="34" spans="1:14" ht="28.5" customHeight="1" x14ac:dyDescent="0.3">
      <c r="A34" s="151" t="s">
        <v>25</v>
      </c>
      <c r="B34" s="152"/>
      <c r="C34" s="152"/>
      <c r="D34" s="152"/>
      <c r="E34" s="152"/>
      <c r="F34" s="152"/>
    </row>
    <row r="35" spans="1:14" s="31" customFormat="1" ht="90" customHeight="1" x14ac:dyDescent="0.3">
      <c r="A35" s="15" t="s">
        <v>48</v>
      </c>
      <c r="B35" s="39" t="s">
        <v>43</v>
      </c>
      <c r="C35" s="39" t="s">
        <v>44</v>
      </c>
      <c r="D35" s="15" t="s">
        <v>26</v>
      </c>
      <c r="E35" s="30" t="s">
        <v>47</v>
      </c>
      <c r="F35" s="39" t="s">
        <v>27</v>
      </c>
    </row>
    <row r="36" spans="1:14" ht="22.5" customHeight="1" x14ac:dyDescent="0.3">
      <c r="A36" s="17">
        <v>157625.26999999999</v>
      </c>
      <c r="B36" s="16">
        <f>'22015риц'!B37+'2015'!B37</f>
        <v>689741.02999999991</v>
      </c>
      <c r="C36" s="16">
        <f>'22015риц'!C37+'2015'!C37</f>
        <v>573144.36</v>
      </c>
      <c r="D36" s="16">
        <f>B36</f>
        <v>689741.02999999991</v>
      </c>
      <c r="E36" s="17">
        <f t="shared" ref="E36:E39" si="0">A36+B36-C36</f>
        <v>274221.93999999994</v>
      </c>
      <c r="F36" s="8" t="s">
        <v>28</v>
      </c>
    </row>
    <row r="37" spans="1:14" ht="18" customHeight="1" x14ac:dyDescent="0.3">
      <c r="A37" s="17">
        <v>55008.78</v>
      </c>
      <c r="B37" s="16">
        <f>'22015риц'!B38+'2015'!B38</f>
        <v>192378.26</v>
      </c>
      <c r="C37" s="16">
        <f>'22015риц'!C38+'2015'!C38</f>
        <v>166668.58000000002</v>
      </c>
      <c r="D37" s="16">
        <f t="shared" ref="D37:D38" si="1">B37</f>
        <v>192378.26</v>
      </c>
      <c r="E37" s="17">
        <f t="shared" si="0"/>
        <v>80718.459999999992</v>
      </c>
      <c r="F37" s="8" t="s">
        <v>29</v>
      </c>
    </row>
    <row r="38" spans="1:14" ht="45.75" customHeight="1" x14ac:dyDescent="0.3">
      <c r="A38" s="17">
        <v>69100.560000000012</v>
      </c>
      <c r="B38" s="16">
        <f>'22015риц'!B39+'2015'!B39</f>
        <v>198381.2</v>
      </c>
      <c r="C38" s="16">
        <f>'22015риц'!C39+'2015'!C39</f>
        <v>167419.25</v>
      </c>
      <c r="D38" s="16">
        <f t="shared" si="1"/>
        <v>198381.2</v>
      </c>
      <c r="E38" s="17">
        <f t="shared" si="0"/>
        <v>100062.51000000001</v>
      </c>
      <c r="F38" s="8" t="s">
        <v>30</v>
      </c>
      <c r="J38" s="71" t="s">
        <v>62</v>
      </c>
      <c r="K38" s="71" t="s">
        <v>63</v>
      </c>
      <c r="L38" s="71" t="s">
        <v>64</v>
      </c>
      <c r="M38" s="71" t="s">
        <v>65</v>
      </c>
      <c r="N38" s="71" t="s">
        <v>66</v>
      </c>
    </row>
    <row r="39" spans="1:14" ht="39.75" customHeight="1" x14ac:dyDescent="0.3">
      <c r="A39" s="17">
        <v>37916.069999999992</v>
      </c>
      <c r="B39" s="16">
        <f>'22015риц'!B40+'2015'!B40</f>
        <v>124199.5</v>
      </c>
      <c r="C39" s="16">
        <f>'22015риц'!C40+'2015'!C40+N39</f>
        <v>118116.73999999999</v>
      </c>
      <c r="D39" s="43"/>
      <c r="E39" s="17">
        <f t="shared" si="0"/>
        <v>43998.830000000016</v>
      </c>
      <c r="F39" s="70" t="s">
        <v>61</v>
      </c>
      <c r="J39" s="71">
        <v>3000</v>
      </c>
      <c r="K39" s="71">
        <v>1350</v>
      </c>
      <c r="L39" s="71">
        <v>0</v>
      </c>
      <c r="M39" s="71">
        <v>6000</v>
      </c>
      <c r="N39" s="71">
        <f>J39+K39+L39+M39</f>
        <v>10350</v>
      </c>
    </row>
    <row r="40" spans="1:14" x14ac:dyDescent="0.3">
      <c r="A40" s="18">
        <f>SUM(A36:A39)</f>
        <v>319650.68</v>
      </c>
      <c r="B40" s="18">
        <f>SUM(B36:B39)</f>
        <v>1204699.99</v>
      </c>
      <c r="C40" s="18">
        <f>SUM(C36:C39)</f>
        <v>1025348.9299999999</v>
      </c>
      <c r="D40" s="18">
        <f>SUM(D36:D39)</f>
        <v>1080500.49</v>
      </c>
      <c r="E40" s="18">
        <f>SUM(E36:E39)</f>
        <v>499001.73999999993</v>
      </c>
      <c r="F40" s="19" t="s">
        <v>32</v>
      </c>
      <c r="G40" s="69">
        <f>C40/B40</f>
        <v>0.85112388022847074</v>
      </c>
    </row>
    <row r="41" spans="1:14" x14ac:dyDescent="0.3">
      <c r="A41" s="20"/>
      <c r="B41" s="20"/>
      <c r="C41" s="21"/>
      <c r="D41" s="20"/>
      <c r="E41" s="21"/>
      <c r="F41" s="20"/>
    </row>
    <row r="42" spans="1:14" x14ac:dyDescent="0.3">
      <c r="A42" s="147" t="s">
        <v>33</v>
      </c>
      <c r="B42" s="148"/>
      <c r="C42" s="148"/>
      <c r="D42" s="148"/>
      <c r="E42" s="148"/>
      <c r="F42" s="11"/>
    </row>
    <row r="43" spans="1:14" ht="57.75" customHeight="1" x14ac:dyDescent="0.3">
      <c r="A43" s="15" t="s">
        <v>48</v>
      </c>
      <c r="B43" s="39" t="s">
        <v>43</v>
      </c>
      <c r="C43" s="39" t="s">
        <v>44</v>
      </c>
      <c r="D43" s="15" t="s">
        <v>26</v>
      </c>
      <c r="E43" s="30" t="s">
        <v>47</v>
      </c>
      <c r="F43" s="39" t="s">
        <v>34</v>
      </c>
    </row>
    <row r="44" spans="1:14" ht="29.25" customHeight="1" x14ac:dyDescent="0.3">
      <c r="A44" s="17">
        <v>40313.12000000001</v>
      </c>
      <c r="B44" s="17">
        <f>'22015риц'!B45+'2015'!B45</f>
        <v>234461.03000000003</v>
      </c>
      <c r="C44" s="17">
        <f>'22015риц'!C45+'2015'!C45</f>
        <v>241902.91999999998</v>
      </c>
      <c r="D44" s="17">
        <f>C44</f>
        <v>241902.91999999998</v>
      </c>
      <c r="E44" s="17">
        <f t="shared" ref="E44:E45" si="2">A44+B44-C44</f>
        <v>32871.23000000004</v>
      </c>
      <c r="F44" s="8" t="s">
        <v>35</v>
      </c>
    </row>
    <row r="45" spans="1:14" ht="27" customHeight="1" x14ac:dyDescent="0.3">
      <c r="A45" s="17">
        <v>19711.359999999993</v>
      </c>
      <c r="B45" s="17">
        <f>'22015риц'!B46+'2015'!B46</f>
        <v>92623.25999999998</v>
      </c>
      <c r="C45" s="17">
        <f>'2015'!C46+'22015риц'!C46</f>
        <v>99514.73000000001</v>
      </c>
      <c r="D45" s="17">
        <f t="shared" ref="D45:D46" si="3">C45</f>
        <v>99514.73000000001</v>
      </c>
      <c r="E45" s="17">
        <f t="shared" si="2"/>
        <v>12819.889999999956</v>
      </c>
      <c r="F45" s="8" t="s">
        <v>49</v>
      </c>
      <c r="G45" s="44"/>
      <c r="H45" s="44"/>
      <c r="I45" s="45"/>
    </row>
    <row r="46" spans="1:14" ht="34.5" customHeight="1" x14ac:dyDescent="0.3">
      <c r="A46" s="17"/>
      <c r="B46" s="17">
        <f>'22015риц'!B47+'2015'!B47</f>
        <v>188436.91999999998</v>
      </c>
      <c r="C46" s="17">
        <f>'2015'!C47+'22015риц'!C47</f>
        <v>138955.72</v>
      </c>
      <c r="D46" s="17">
        <f t="shared" si="3"/>
        <v>138955.72</v>
      </c>
      <c r="E46" s="17">
        <v>-25153.97</v>
      </c>
      <c r="F46" s="33" t="s">
        <v>45</v>
      </c>
    </row>
    <row r="47" spans="1:14" x14ac:dyDescent="0.3">
      <c r="A47" s="18">
        <f>A44+A45</f>
        <v>60024.480000000003</v>
      </c>
      <c r="B47" s="18">
        <f>SUM(B44:B46)</f>
        <v>515521.21</v>
      </c>
      <c r="C47" s="18">
        <f t="shared" ref="C47:D47" si="4">SUM(C44:C46)</f>
        <v>480373.37</v>
      </c>
      <c r="D47" s="18">
        <f t="shared" si="4"/>
        <v>480373.37</v>
      </c>
      <c r="E47" s="18">
        <f>SUM(E44:E46)</f>
        <v>20537.149999999994</v>
      </c>
      <c r="F47" s="19" t="s">
        <v>32</v>
      </c>
    </row>
  </sheetData>
  <mergeCells count="24">
    <mergeCell ref="A34:F34"/>
    <mergeCell ref="A42:E42"/>
    <mergeCell ref="A24:F24"/>
    <mergeCell ref="A25:F25"/>
    <mergeCell ref="A26:F26"/>
    <mergeCell ref="A27:F27"/>
    <mergeCell ref="A20:D20"/>
    <mergeCell ref="C8:D8"/>
    <mergeCell ref="C9:D9"/>
    <mergeCell ref="C10:D10"/>
    <mergeCell ref="C11:D11"/>
    <mergeCell ref="C12:D12"/>
    <mergeCell ref="C13:D13"/>
    <mergeCell ref="C14:D14"/>
    <mergeCell ref="C15:D15"/>
    <mergeCell ref="A17:D17"/>
    <mergeCell ref="C18:D18"/>
    <mergeCell ref="A19:D19"/>
    <mergeCell ref="C7:D7"/>
    <mergeCell ref="A1:D1"/>
    <mergeCell ref="A3:D3"/>
    <mergeCell ref="C4:D4"/>
    <mergeCell ref="C5:D5"/>
    <mergeCell ref="C6:D6"/>
  </mergeCells>
  <pageMargins left="0.31496062992125984" right="0.11811023622047245" top="0.74803149606299213" bottom="0.74803149606299213" header="0.31496062992125984" footer="0.31496062992125984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54"/>
  <sheetViews>
    <sheetView tabSelected="1" topLeftCell="A17" zoomScaleNormal="100" workbookViewId="0">
      <selection activeCell="H26" sqref="H26:H30"/>
    </sheetView>
  </sheetViews>
  <sheetFormatPr defaultColWidth="9.109375" defaultRowHeight="14.4" x14ac:dyDescent="0.3"/>
  <cols>
    <col min="1" max="1" width="14.77734375" style="3" customWidth="1"/>
    <col min="2" max="2" width="10.21875" style="3" customWidth="1"/>
    <col min="3" max="3" width="14.33203125" style="72" customWidth="1"/>
    <col min="4" max="4" width="15.6640625" style="72" customWidth="1"/>
    <col min="5" max="5" width="12.6640625" style="72" customWidth="1"/>
    <col min="6" max="6" width="16.109375" style="72" customWidth="1"/>
    <col min="7" max="7" width="28.5546875" style="72" customWidth="1"/>
    <col min="8" max="8" width="11.5546875" style="72" bestFit="1" customWidth="1"/>
    <col min="9" max="9" width="7" style="72" customWidth="1"/>
    <col min="10" max="14" width="9.109375" style="29"/>
    <col min="15" max="16384" width="9.109375" style="72"/>
  </cols>
  <sheetData>
    <row r="1" spans="1:14" ht="18" x14ac:dyDescent="0.35">
      <c r="A1" s="134" t="s">
        <v>19</v>
      </c>
      <c r="B1" s="134"/>
      <c r="C1" s="134"/>
      <c r="D1" s="134"/>
      <c r="E1" s="134"/>
    </row>
    <row r="2" spans="1:14" ht="12" customHeight="1" x14ac:dyDescent="0.3">
      <c r="A2" s="135" t="s">
        <v>17</v>
      </c>
      <c r="B2" s="135"/>
      <c r="C2" s="135"/>
      <c r="D2" s="135"/>
      <c r="E2" s="135"/>
      <c r="F2" s="74"/>
      <c r="G2" s="74"/>
    </row>
    <row r="3" spans="1:14" x14ac:dyDescent="0.3">
      <c r="A3" s="7">
        <v>1</v>
      </c>
      <c r="B3" s="7"/>
      <c r="C3" s="8" t="s">
        <v>0</v>
      </c>
      <c r="D3" s="139">
        <v>2010</v>
      </c>
      <c r="E3" s="139"/>
      <c r="F3" s="74"/>
      <c r="G3" s="74"/>
    </row>
    <row r="4" spans="1:14" x14ac:dyDescent="0.3">
      <c r="A4" s="7">
        <v>2</v>
      </c>
      <c r="B4" s="7"/>
      <c r="C4" s="8" t="s">
        <v>1</v>
      </c>
      <c r="D4" s="139">
        <v>14</v>
      </c>
      <c r="E4" s="139"/>
      <c r="F4" s="74"/>
      <c r="G4" s="74"/>
    </row>
    <row r="5" spans="1:14" x14ac:dyDescent="0.3">
      <c r="A5" s="7">
        <v>3</v>
      </c>
      <c r="B5" s="7"/>
      <c r="C5" s="8" t="s">
        <v>2</v>
      </c>
      <c r="D5" s="139">
        <v>104</v>
      </c>
      <c r="E5" s="139"/>
      <c r="F5" s="74"/>
      <c r="G5" s="74"/>
    </row>
    <row r="6" spans="1:14" ht="21.6" x14ac:dyDescent="0.3">
      <c r="A6" s="7">
        <v>4</v>
      </c>
      <c r="B6" s="7"/>
      <c r="C6" s="8" t="s">
        <v>3</v>
      </c>
      <c r="D6" s="139">
        <v>5379.4</v>
      </c>
      <c r="E6" s="139"/>
      <c r="F6" s="74"/>
      <c r="G6" s="74"/>
    </row>
    <row r="7" spans="1:14" ht="21.6" x14ac:dyDescent="0.3">
      <c r="A7" s="7">
        <v>5</v>
      </c>
      <c r="B7" s="7"/>
      <c r="C7" s="8" t="s">
        <v>4</v>
      </c>
      <c r="D7" s="139">
        <v>1540.8</v>
      </c>
      <c r="E7" s="139"/>
      <c r="F7" s="74"/>
      <c r="G7" s="74"/>
    </row>
    <row r="8" spans="1:14" ht="31.8" x14ac:dyDescent="0.3">
      <c r="A8" s="7">
        <v>6</v>
      </c>
      <c r="B8" s="7"/>
      <c r="C8" s="8" t="s">
        <v>15</v>
      </c>
      <c r="D8" s="139">
        <v>1818.6</v>
      </c>
      <c r="E8" s="139"/>
      <c r="F8" s="74"/>
      <c r="G8" s="74"/>
    </row>
    <row r="9" spans="1:14" ht="36.6" customHeight="1" x14ac:dyDescent="0.3">
      <c r="A9" s="7">
        <v>7</v>
      </c>
      <c r="B9" s="7"/>
      <c r="C9" s="8" t="s">
        <v>5</v>
      </c>
      <c r="D9" s="140" t="s">
        <v>11</v>
      </c>
      <c r="E9" s="141"/>
      <c r="F9" s="74"/>
      <c r="G9" s="74"/>
    </row>
    <row r="10" spans="1:14" ht="21.6" x14ac:dyDescent="0.3">
      <c r="A10" s="7">
        <v>8</v>
      </c>
      <c r="B10" s="7"/>
      <c r="C10" s="8" t="s">
        <v>6</v>
      </c>
      <c r="D10" s="139" t="s">
        <v>20</v>
      </c>
      <c r="E10" s="139"/>
      <c r="F10" s="74"/>
      <c r="G10" s="74"/>
    </row>
    <row r="11" spans="1:14" x14ac:dyDescent="0.3">
      <c r="A11" s="7">
        <v>9</v>
      </c>
      <c r="B11" s="7"/>
      <c r="C11" s="8" t="s">
        <v>7</v>
      </c>
      <c r="D11" s="142" t="s">
        <v>10</v>
      </c>
      <c r="E11" s="142"/>
      <c r="F11" s="74"/>
      <c r="G11" s="74"/>
    </row>
    <row r="12" spans="1:14" ht="35.25" customHeight="1" x14ac:dyDescent="0.3">
      <c r="A12" s="7">
        <v>11</v>
      </c>
      <c r="B12" s="7"/>
      <c r="C12" s="8" t="s">
        <v>13</v>
      </c>
      <c r="D12" s="140" t="s">
        <v>21</v>
      </c>
      <c r="E12" s="141"/>
      <c r="F12" s="74"/>
      <c r="G12" s="74"/>
    </row>
    <row r="13" spans="1:14" ht="44.25" customHeight="1" x14ac:dyDescent="0.3">
      <c r="A13" s="7">
        <v>12</v>
      </c>
      <c r="B13" s="7"/>
      <c r="C13" s="8" t="s">
        <v>16</v>
      </c>
      <c r="D13" s="145" t="s">
        <v>9</v>
      </c>
      <c r="E13" s="146"/>
      <c r="F13" s="74"/>
      <c r="G13" s="74"/>
    </row>
    <row r="14" spans="1:14" s="31" customFormat="1" ht="16.2" customHeight="1" x14ac:dyDescent="0.3">
      <c r="A14" s="172" t="s">
        <v>18</v>
      </c>
      <c r="B14" s="172"/>
      <c r="C14" s="172"/>
      <c r="D14" s="172"/>
      <c r="E14" s="172"/>
      <c r="F14" s="125"/>
      <c r="G14" s="125"/>
      <c r="J14" s="126"/>
      <c r="K14" s="126"/>
      <c r="L14" s="126"/>
      <c r="M14" s="126"/>
      <c r="N14" s="126"/>
    </row>
    <row r="15" spans="1:14" s="29" customFormat="1" ht="52.2" x14ac:dyDescent="0.3">
      <c r="A15" s="73">
        <v>1</v>
      </c>
      <c r="B15" s="73"/>
      <c r="C15" s="47" t="s">
        <v>12</v>
      </c>
      <c r="D15" s="165" t="s">
        <v>60</v>
      </c>
      <c r="E15" s="165"/>
      <c r="F15" s="28"/>
      <c r="G15" s="28"/>
    </row>
    <row r="16" spans="1:14" s="104" customFormat="1" ht="15" customHeight="1" x14ac:dyDescent="0.25">
      <c r="A16" s="173" t="s">
        <v>22</v>
      </c>
      <c r="B16" s="173"/>
      <c r="C16" s="169"/>
      <c r="D16" s="169"/>
      <c r="E16" s="169"/>
      <c r="F16" s="169"/>
      <c r="G16" s="169"/>
      <c r="J16" s="105"/>
      <c r="K16" s="105"/>
      <c r="L16" s="105"/>
      <c r="M16" s="105"/>
      <c r="N16" s="105"/>
    </row>
    <row r="17" spans="1:14" s="104" customFormat="1" ht="15" customHeight="1" x14ac:dyDescent="0.25">
      <c r="A17" s="174" t="s">
        <v>23</v>
      </c>
      <c r="B17" s="174"/>
      <c r="C17" s="169"/>
      <c r="D17" s="169"/>
      <c r="E17" s="169"/>
      <c r="F17" s="169"/>
      <c r="G17" s="169"/>
      <c r="J17" s="105"/>
      <c r="K17" s="105"/>
      <c r="L17" s="105"/>
      <c r="M17" s="105"/>
      <c r="N17" s="105"/>
    </row>
    <row r="18" spans="1:14" s="104" customFormat="1" ht="35.25" customHeight="1" x14ac:dyDescent="0.25">
      <c r="A18" s="166" t="s">
        <v>85</v>
      </c>
      <c r="B18" s="166"/>
      <c r="C18" s="167"/>
      <c r="D18" s="167"/>
      <c r="E18" s="167"/>
      <c r="F18" s="167"/>
      <c r="G18" s="167"/>
      <c r="J18" s="105"/>
      <c r="K18" s="105"/>
      <c r="L18" s="105"/>
      <c r="M18" s="105"/>
      <c r="N18" s="105"/>
    </row>
    <row r="19" spans="1:14" s="104" customFormat="1" ht="13.8" x14ac:dyDescent="0.25">
      <c r="A19" s="168" t="s">
        <v>24</v>
      </c>
      <c r="B19" s="168"/>
      <c r="C19" s="169"/>
      <c r="D19" s="169"/>
      <c r="E19" s="169"/>
      <c r="F19" s="169"/>
      <c r="G19" s="169"/>
      <c r="J19" s="105"/>
      <c r="K19" s="105"/>
      <c r="L19" s="105"/>
      <c r="M19" s="105"/>
      <c r="N19" s="105"/>
    </row>
    <row r="20" spans="1:14" s="104" customFormat="1" ht="13.8" x14ac:dyDescent="0.25">
      <c r="A20" s="75" t="s">
        <v>79</v>
      </c>
      <c r="B20" s="75"/>
      <c r="C20" s="76"/>
      <c r="D20" s="77"/>
      <c r="E20" s="78"/>
      <c r="F20" s="77"/>
      <c r="G20" s="77"/>
      <c r="J20" s="105"/>
      <c r="K20" s="105"/>
      <c r="L20" s="105"/>
      <c r="M20" s="105"/>
      <c r="N20" s="105"/>
    </row>
    <row r="21" spans="1:14" s="104" customFormat="1" ht="13.8" x14ac:dyDescent="0.25">
      <c r="A21" s="75" t="s">
        <v>73</v>
      </c>
      <c r="B21" s="75"/>
      <c r="C21" s="76"/>
      <c r="D21" s="79">
        <v>5806.2</v>
      </c>
      <c r="E21" s="78"/>
      <c r="F21" s="77"/>
      <c r="G21" s="77"/>
      <c r="J21" s="105"/>
      <c r="K21" s="105"/>
      <c r="L21" s="105"/>
      <c r="M21" s="105"/>
      <c r="N21" s="105"/>
    </row>
    <row r="22" spans="1:14" s="104" customFormat="1" ht="13.8" x14ac:dyDescent="0.25">
      <c r="A22" s="75" t="s">
        <v>80</v>
      </c>
      <c r="B22" s="75"/>
      <c r="C22" s="76"/>
      <c r="D22" s="77"/>
      <c r="E22" s="78"/>
      <c r="F22" s="77"/>
      <c r="G22" s="77"/>
      <c r="J22" s="105"/>
      <c r="K22" s="105"/>
      <c r="L22" s="105"/>
      <c r="M22" s="105"/>
      <c r="N22" s="105"/>
    </row>
    <row r="23" spans="1:14" s="104" customFormat="1" ht="13.8" x14ac:dyDescent="0.25">
      <c r="A23" s="75" t="s">
        <v>81</v>
      </c>
      <c r="B23" s="75"/>
      <c r="C23" s="76"/>
      <c r="D23" s="77"/>
      <c r="E23" s="78"/>
      <c r="F23" s="77"/>
      <c r="G23" s="77"/>
      <c r="J23" s="105"/>
      <c r="K23" s="105"/>
      <c r="L23" s="105"/>
      <c r="M23" s="105"/>
      <c r="N23" s="105"/>
    </row>
    <row r="24" spans="1:14" s="116" customFormat="1" ht="24.6" customHeight="1" x14ac:dyDescent="0.25">
      <c r="A24" s="170" t="s">
        <v>25</v>
      </c>
      <c r="B24" s="170"/>
      <c r="C24" s="171"/>
      <c r="D24" s="171"/>
      <c r="E24" s="171"/>
      <c r="F24" s="171"/>
      <c r="G24" s="171"/>
      <c r="J24" s="117"/>
      <c r="K24" s="117"/>
      <c r="L24" s="117"/>
      <c r="M24" s="117"/>
      <c r="N24" s="117"/>
    </row>
    <row r="25" spans="1:14" s="85" customFormat="1" ht="60.75" customHeight="1" x14ac:dyDescent="0.3">
      <c r="A25" s="118" t="s">
        <v>86</v>
      </c>
      <c r="B25" s="81" t="s">
        <v>67</v>
      </c>
      <c r="C25" s="82" t="s">
        <v>87</v>
      </c>
      <c r="D25" s="82" t="s">
        <v>88</v>
      </c>
      <c r="E25" s="80" t="s">
        <v>26</v>
      </c>
      <c r="F25" s="83" t="s">
        <v>89</v>
      </c>
      <c r="G25" s="84" t="s">
        <v>27</v>
      </c>
      <c r="J25" s="86"/>
      <c r="K25" s="86"/>
      <c r="L25" s="86"/>
      <c r="M25" s="86"/>
      <c r="N25" s="86"/>
    </row>
    <row r="26" spans="1:14" s="106" customFormat="1" ht="24.6" customHeight="1" x14ac:dyDescent="0.3">
      <c r="A26" s="89">
        <v>467979.46999999962</v>
      </c>
      <c r="B26" s="87">
        <f>10.35</f>
        <v>10.35</v>
      </c>
      <c r="C26" s="88">
        <v>789983.76</v>
      </c>
      <c r="D26" s="88">
        <v>653320.06000000006</v>
      </c>
      <c r="E26" s="88">
        <f t="shared" ref="E26:E29" si="0">C26</f>
        <v>789983.76</v>
      </c>
      <c r="F26" s="89">
        <f>A26+C26-D26</f>
        <v>604643.16999999946</v>
      </c>
      <c r="G26" s="90" t="s">
        <v>28</v>
      </c>
      <c r="H26" s="131"/>
      <c r="J26" s="107"/>
      <c r="K26" s="107"/>
      <c r="L26" s="107"/>
      <c r="M26" s="107"/>
      <c r="N26" s="107"/>
    </row>
    <row r="27" spans="1:14" s="106" customFormat="1" ht="22.5" customHeight="1" x14ac:dyDescent="0.3">
      <c r="A27" s="89">
        <v>72898.26999999999</v>
      </c>
      <c r="B27" s="87">
        <v>4.3099999999999996</v>
      </c>
      <c r="C27" s="88">
        <v>300184.59999999998</v>
      </c>
      <c r="D27" s="88">
        <v>234195.22</v>
      </c>
      <c r="E27" s="88">
        <f t="shared" si="0"/>
        <v>300184.59999999998</v>
      </c>
      <c r="F27" s="89">
        <f>A27+C27-D27</f>
        <v>138887.65</v>
      </c>
      <c r="G27" s="90" t="s">
        <v>70</v>
      </c>
      <c r="H27" s="131"/>
      <c r="J27" s="107"/>
      <c r="K27" s="107"/>
      <c r="L27" s="107"/>
      <c r="M27" s="107"/>
      <c r="N27" s="107"/>
    </row>
    <row r="28" spans="1:14" s="106" customFormat="1" ht="18" customHeight="1" x14ac:dyDescent="0.3">
      <c r="A28" s="89">
        <v>185221.4</v>
      </c>
      <c r="B28" s="87">
        <v>3.15</v>
      </c>
      <c r="C28" s="88">
        <v>236305.03</v>
      </c>
      <c r="D28" s="88">
        <v>183191.03</v>
      </c>
      <c r="E28" s="88">
        <f t="shared" si="0"/>
        <v>236305.03</v>
      </c>
      <c r="F28" s="89">
        <f>A28+C28-D28</f>
        <v>238335.4</v>
      </c>
      <c r="G28" s="90" t="s">
        <v>29</v>
      </c>
      <c r="H28" s="131"/>
      <c r="J28" s="107"/>
      <c r="K28" s="107"/>
      <c r="L28" s="107"/>
      <c r="M28" s="107"/>
      <c r="N28" s="107"/>
    </row>
    <row r="29" spans="1:14" s="106" customFormat="1" ht="31.2" customHeight="1" x14ac:dyDescent="0.3">
      <c r="A29" s="89">
        <v>206185.44999999998</v>
      </c>
      <c r="B29" s="87">
        <v>4.5999999999999996</v>
      </c>
      <c r="C29" s="88">
        <v>320379.03999999998</v>
      </c>
      <c r="D29" s="88">
        <v>246488.27</v>
      </c>
      <c r="E29" s="88">
        <f t="shared" si="0"/>
        <v>320379.03999999998</v>
      </c>
      <c r="F29" s="89">
        <f>A29+C29-D29</f>
        <v>280076.21999999997</v>
      </c>
      <c r="G29" s="90" t="s">
        <v>82</v>
      </c>
      <c r="H29" s="131"/>
      <c r="J29" s="108" t="s">
        <v>62</v>
      </c>
      <c r="K29" s="108" t="s">
        <v>63</v>
      </c>
      <c r="L29" s="108" t="s">
        <v>64</v>
      </c>
      <c r="M29" s="108" t="s">
        <v>76</v>
      </c>
      <c r="N29" s="108" t="s">
        <v>66</v>
      </c>
    </row>
    <row r="30" spans="1:14" s="106" customFormat="1" ht="27" customHeight="1" x14ac:dyDescent="0.3">
      <c r="A30" s="89">
        <v>142478.55999999997</v>
      </c>
      <c r="B30" s="87">
        <v>3</v>
      </c>
      <c r="C30" s="88">
        <v>208942.86</v>
      </c>
      <c r="D30" s="88">
        <v>134400.48000000001</v>
      </c>
      <c r="E30" s="91">
        <f>E42</f>
        <v>98440.62</v>
      </c>
      <c r="F30" s="89">
        <f>A30+C30-D30</f>
        <v>217020.93999999992</v>
      </c>
      <c r="G30" s="83" t="s">
        <v>31</v>
      </c>
      <c r="H30" s="131"/>
      <c r="J30" s="108">
        <v>3000</v>
      </c>
      <c r="K30" s="108">
        <f>250*12</f>
        <v>3000</v>
      </c>
      <c r="L30" s="108">
        <v>0</v>
      </c>
      <c r="M30" s="108">
        <f>750*4</f>
        <v>3000</v>
      </c>
      <c r="N30" s="108">
        <f>J30+K30+L30+M30</f>
        <v>9000</v>
      </c>
    </row>
    <row r="31" spans="1:14" s="104" customFormat="1" ht="15" customHeight="1" x14ac:dyDescent="0.25">
      <c r="A31" s="92">
        <f>SUM(A26:A30)</f>
        <v>1074763.1499999997</v>
      </c>
      <c r="B31" s="92"/>
      <c r="C31" s="92">
        <f>SUM(C26:C30)</f>
        <v>1855795.29</v>
      </c>
      <c r="D31" s="92">
        <f>SUM(D26:D30)</f>
        <v>1451595.06</v>
      </c>
      <c r="E31" s="92">
        <f>SUM(E26:E30)</f>
        <v>1745293.0499999998</v>
      </c>
      <c r="F31" s="92">
        <f>SUM(F26:F30)</f>
        <v>1478963.3799999994</v>
      </c>
      <c r="G31" s="93" t="s">
        <v>32</v>
      </c>
      <c r="H31" s="122">
        <f>D31/C31</f>
        <v>0.78219568064535827</v>
      </c>
      <c r="J31" s="105">
        <f>J30/12</f>
        <v>250</v>
      </c>
      <c r="K31" s="105">
        <f>K30/12</f>
        <v>250</v>
      </c>
      <c r="L31" s="105">
        <f t="shared" ref="L31:M31" si="1">L30/12</f>
        <v>0</v>
      </c>
      <c r="M31" s="105">
        <f t="shared" si="1"/>
        <v>250</v>
      </c>
      <c r="N31" s="105"/>
    </row>
    <row r="32" spans="1:14" s="104" customFormat="1" ht="13.8" x14ac:dyDescent="0.25">
      <c r="A32" s="176" t="s">
        <v>33</v>
      </c>
      <c r="B32" s="176"/>
      <c r="C32" s="177"/>
      <c r="D32" s="177"/>
      <c r="E32" s="177"/>
      <c r="F32" s="177"/>
      <c r="G32" s="75"/>
      <c r="J32" s="105"/>
      <c r="K32" s="105"/>
      <c r="L32" s="105"/>
      <c r="M32" s="105"/>
      <c r="N32" s="105"/>
    </row>
    <row r="33" spans="1:16" s="104" customFormat="1" ht="60" customHeight="1" x14ac:dyDescent="0.25">
      <c r="A33" s="81" t="s">
        <v>86</v>
      </c>
      <c r="B33" s="81"/>
      <c r="C33" s="82" t="s">
        <v>87</v>
      </c>
      <c r="D33" s="82" t="s">
        <v>88</v>
      </c>
      <c r="E33" s="80" t="s">
        <v>26</v>
      </c>
      <c r="F33" s="83" t="s">
        <v>89</v>
      </c>
      <c r="G33" s="94" t="s">
        <v>34</v>
      </c>
      <c r="J33" s="105"/>
      <c r="K33" s="105"/>
      <c r="L33" s="105"/>
      <c r="M33" s="105"/>
      <c r="N33" s="105"/>
    </row>
    <row r="34" spans="1:16" s="106" customFormat="1" ht="27" customHeight="1" x14ac:dyDescent="0.3">
      <c r="A34" s="89">
        <v>117936.92000000004</v>
      </c>
      <c r="B34" s="89"/>
      <c r="C34" s="89">
        <v>347762.53</v>
      </c>
      <c r="D34" s="89">
        <v>286255.23</v>
      </c>
      <c r="E34" s="89">
        <f>D34</f>
        <v>286255.23</v>
      </c>
      <c r="F34" s="89">
        <f t="shared" ref="F34:F35" si="2">A34+C34-D34</f>
        <v>179444.22000000009</v>
      </c>
      <c r="G34" s="90" t="s">
        <v>35</v>
      </c>
      <c r="J34" s="107"/>
      <c r="K34" s="107"/>
      <c r="L34" s="107"/>
      <c r="M34" s="107"/>
      <c r="N34" s="107"/>
    </row>
    <row r="35" spans="1:16" s="106" customFormat="1" ht="27" customHeight="1" x14ac:dyDescent="0.3">
      <c r="A35" s="89">
        <v>155509.45000000001</v>
      </c>
      <c r="B35" s="89"/>
      <c r="C35" s="89">
        <v>804045.86</v>
      </c>
      <c r="D35" s="89">
        <v>588509.01</v>
      </c>
      <c r="E35" s="89">
        <f t="shared" ref="E35:E37" si="3">D35</f>
        <v>588509.01</v>
      </c>
      <c r="F35" s="89">
        <f t="shared" si="2"/>
        <v>371046.30000000005</v>
      </c>
      <c r="G35" s="90" t="s">
        <v>49</v>
      </c>
      <c r="H35" s="121"/>
      <c r="I35" s="121"/>
      <c r="J35" s="107"/>
      <c r="K35" s="107"/>
      <c r="L35" s="107"/>
      <c r="M35" s="107"/>
      <c r="N35" s="107"/>
    </row>
    <row r="36" spans="1:16" s="106" customFormat="1" ht="26.4" customHeight="1" x14ac:dyDescent="0.3">
      <c r="A36" s="89">
        <v>268690.24</v>
      </c>
      <c r="B36" s="89"/>
      <c r="C36" s="89">
        <v>2004252.9</v>
      </c>
      <c r="D36" s="89">
        <v>1538321.72</v>
      </c>
      <c r="E36" s="89">
        <f t="shared" ref="E36" si="4">D36</f>
        <v>1538321.72</v>
      </c>
      <c r="F36" s="89">
        <f t="shared" ref="F36:F37" si="5">A36+C36-D36</f>
        <v>734621.41999999969</v>
      </c>
      <c r="G36" s="90" t="s">
        <v>77</v>
      </c>
      <c r="H36" s="121"/>
      <c r="I36" s="121"/>
      <c r="J36" s="107"/>
      <c r="K36" s="107"/>
      <c r="L36" s="107"/>
      <c r="M36" s="107"/>
      <c r="N36" s="107"/>
    </row>
    <row r="37" spans="1:16" s="106" customFormat="1" ht="34.5" customHeight="1" x14ac:dyDescent="0.3">
      <c r="A37" s="89">
        <v>-25153.97</v>
      </c>
      <c r="B37" s="89"/>
      <c r="C37" s="89">
        <v>139051.96</v>
      </c>
      <c r="D37" s="89">
        <v>109558.56</v>
      </c>
      <c r="E37" s="89">
        <f t="shared" si="3"/>
        <v>109558.56</v>
      </c>
      <c r="F37" s="89">
        <f t="shared" si="5"/>
        <v>4339.429999999993</v>
      </c>
      <c r="G37" s="83" t="s">
        <v>83</v>
      </c>
      <c r="J37" s="107"/>
      <c r="K37" s="107"/>
      <c r="L37" s="107"/>
      <c r="M37" s="107"/>
      <c r="N37" s="107"/>
    </row>
    <row r="38" spans="1:16" s="104" customFormat="1" ht="13.8" x14ac:dyDescent="0.25">
      <c r="A38" s="92">
        <f>SUM(A34:A37)</f>
        <v>516982.64000000013</v>
      </c>
      <c r="B38" s="92"/>
      <c r="C38" s="92">
        <f>SUM(C34:C37)</f>
        <v>3295113.25</v>
      </c>
      <c r="D38" s="92">
        <f>SUM(D34:D37)</f>
        <v>2522644.52</v>
      </c>
      <c r="E38" s="92">
        <f t="shared" ref="E38" si="6">SUM(E34:E37)</f>
        <v>2522644.52</v>
      </c>
      <c r="F38" s="92">
        <f>SUM(F34:F37)</f>
        <v>1289451.3699999999</v>
      </c>
      <c r="G38" s="93" t="s">
        <v>32</v>
      </c>
      <c r="J38" s="105"/>
      <c r="K38" s="105"/>
      <c r="L38" s="105"/>
      <c r="M38" s="105"/>
      <c r="N38" s="105"/>
    </row>
    <row r="39" spans="1:16" s="104" customFormat="1" ht="13.8" x14ac:dyDescent="0.25">
      <c r="A39" s="109"/>
      <c r="B39" s="109"/>
      <c r="J39" s="105"/>
      <c r="K39" s="105"/>
      <c r="L39" s="105"/>
      <c r="M39" s="105"/>
      <c r="N39" s="105"/>
    </row>
    <row r="40" spans="1:16" s="104" customFormat="1" ht="13.8" hidden="1" x14ac:dyDescent="0.25">
      <c r="A40" s="109"/>
      <c r="B40" s="109"/>
      <c r="J40" s="105"/>
      <c r="K40" s="105"/>
      <c r="L40" s="105"/>
      <c r="M40" s="105"/>
      <c r="N40" s="105"/>
    </row>
    <row r="41" spans="1:16" s="106" customFormat="1" ht="38.4" customHeight="1" x14ac:dyDescent="0.3">
      <c r="A41" s="81" t="s">
        <v>68</v>
      </c>
      <c r="B41" s="95"/>
      <c r="C41" s="95" t="s">
        <v>90</v>
      </c>
      <c r="D41" s="96" t="s">
        <v>69</v>
      </c>
      <c r="E41" s="96" t="s">
        <v>84</v>
      </c>
      <c r="F41" s="95" t="s">
        <v>91</v>
      </c>
      <c r="J41" s="107"/>
      <c r="K41" s="107"/>
      <c r="L41" s="107"/>
      <c r="M41" s="107"/>
      <c r="N41" s="107"/>
    </row>
    <row r="42" spans="1:16" s="106" customFormat="1" ht="28.8" customHeight="1" x14ac:dyDescent="0.3">
      <c r="A42" s="81"/>
      <c r="B42" s="95"/>
      <c r="C42" s="99">
        <v>-186876.28999999995</v>
      </c>
      <c r="D42" s="97" t="s">
        <v>74</v>
      </c>
      <c r="E42" s="98">
        <f>E43+E44+E45</f>
        <v>98440.62</v>
      </c>
      <c r="F42" s="99">
        <f>C42+D30-E30</f>
        <v>-150916.42999999993</v>
      </c>
      <c r="J42" s="107"/>
      <c r="K42" s="107"/>
      <c r="L42" s="107"/>
      <c r="M42" s="107"/>
      <c r="N42" s="107"/>
    </row>
    <row r="43" spans="1:16" s="104" customFormat="1" ht="39.6" x14ac:dyDescent="0.25">
      <c r="A43" s="110">
        <v>1</v>
      </c>
      <c r="B43" s="111"/>
      <c r="C43" s="100"/>
      <c r="D43" s="119" t="s">
        <v>78</v>
      </c>
      <c r="E43" s="124">
        <v>73090.62</v>
      </c>
      <c r="F43" s="101"/>
      <c r="J43" s="105"/>
      <c r="K43" s="105"/>
      <c r="L43" s="105"/>
      <c r="M43" s="105"/>
      <c r="N43" s="105"/>
    </row>
    <row r="44" spans="1:16" s="115" customFormat="1" ht="39.6" x14ac:dyDescent="0.25">
      <c r="A44" s="112">
        <v>2</v>
      </c>
      <c r="B44" s="113"/>
      <c r="C44" s="102"/>
      <c r="D44" s="119" t="s">
        <v>92</v>
      </c>
      <c r="E44" s="124">
        <v>17300</v>
      </c>
      <c r="F44" s="114"/>
    </row>
    <row r="45" spans="1:16" s="104" customFormat="1" ht="84.6" customHeight="1" x14ac:dyDescent="0.25">
      <c r="A45" s="110">
        <v>3</v>
      </c>
      <c r="B45" s="111"/>
      <c r="C45" s="103"/>
      <c r="D45" s="127" t="s">
        <v>98</v>
      </c>
      <c r="E45" s="120">
        <v>8050</v>
      </c>
      <c r="F45" s="101"/>
      <c r="J45" s="105"/>
      <c r="K45" s="105"/>
      <c r="L45" s="105"/>
      <c r="M45" s="105"/>
      <c r="N45" s="105"/>
    </row>
    <row r="46" spans="1:16" s="29" customFormat="1" ht="43.2" x14ac:dyDescent="0.3">
      <c r="A46" s="128" t="s">
        <v>75</v>
      </c>
      <c r="B46" s="129" t="s">
        <v>71</v>
      </c>
      <c r="C46" s="129" t="s">
        <v>72</v>
      </c>
      <c r="D46" s="129" t="s">
        <v>93</v>
      </c>
      <c r="E46" s="129" t="s">
        <v>88</v>
      </c>
      <c r="F46" s="130" t="s">
        <v>94</v>
      </c>
    </row>
    <row r="47" spans="1:16" s="29" customFormat="1" x14ac:dyDescent="0.3">
      <c r="A47" s="128"/>
      <c r="B47" s="129">
        <f>N30</f>
        <v>9000</v>
      </c>
      <c r="C47" s="129">
        <f>B47</f>
        <v>9000</v>
      </c>
      <c r="D47" s="129">
        <f t="shared" ref="D47:E47" si="7">C47</f>
        <v>9000</v>
      </c>
      <c r="E47" s="129">
        <f t="shared" si="7"/>
        <v>9000</v>
      </c>
      <c r="F47" s="129">
        <f>E47+D47+C47+B47</f>
        <v>36000</v>
      </c>
    </row>
    <row r="48" spans="1:16" ht="23.4" customHeight="1" x14ac:dyDescent="0.3">
      <c r="A48" s="175" t="s">
        <v>97</v>
      </c>
      <c r="B48" s="175"/>
      <c r="C48" s="175"/>
      <c r="D48" s="175"/>
      <c r="E48" s="175"/>
      <c r="F48" s="175"/>
      <c r="G48" s="175"/>
      <c r="H48" s="123"/>
      <c r="I48" s="123"/>
      <c r="O48" s="123"/>
      <c r="P48" s="123"/>
    </row>
    <row r="49" spans="1:16" ht="109.8" customHeight="1" x14ac:dyDescent="0.3">
      <c r="A49" s="175" t="s">
        <v>95</v>
      </c>
      <c r="B49" s="175"/>
      <c r="C49" s="175"/>
      <c r="D49" s="175"/>
      <c r="E49" s="175"/>
      <c r="F49" s="175"/>
      <c r="G49" s="175"/>
      <c r="H49" s="123"/>
      <c r="I49" s="123"/>
      <c r="O49" s="123"/>
      <c r="P49" s="123"/>
    </row>
    <row r="50" spans="1:16" ht="35.4" customHeight="1" x14ac:dyDescent="0.3">
      <c r="A50" s="175" t="s">
        <v>96</v>
      </c>
      <c r="B50" s="175"/>
      <c r="C50" s="175"/>
      <c r="D50" s="175"/>
      <c r="E50" s="175"/>
      <c r="F50" s="175"/>
      <c r="G50" s="175"/>
      <c r="H50" s="123"/>
      <c r="I50" s="123"/>
      <c r="O50" s="123"/>
      <c r="P50" s="123"/>
    </row>
    <row r="51" spans="1:16" x14ac:dyDescent="0.3">
      <c r="C51" s="35"/>
      <c r="D51" s="35"/>
    </row>
    <row r="54" spans="1:16" x14ac:dyDescent="0.3">
      <c r="D54" s="35"/>
    </row>
  </sheetData>
  <mergeCells count="24">
    <mergeCell ref="A48:G48"/>
    <mergeCell ref="A49:G49"/>
    <mergeCell ref="A50:G50"/>
    <mergeCell ref="D6:E6"/>
    <mergeCell ref="A1:E1"/>
    <mergeCell ref="A2:E2"/>
    <mergeCell ref="D3:E3"/>
    <mergeCell ref="D4:E4"/>
    <mergeCell ref="D5:E5"/>
    <mergeCell ref="D7:E7"/>
    <mergeCell ref="D8:E8"/>
    <mergeCell ref="D9:E9"/>
    <mergeCell ref="D10:E10"/>
    <mergeCell ref="D11:E11"/>
    <mergeCell ref="A32:F32"/>
    <mergeCell ref="D12:E12"/>
    <mergeCell ref="A18:G18"/>
    <mergeCell ref="A19:G19"/>
    <mergeCell ref="A24:G24"/>
    <mergeCell ref="D13:E13"/>
    <mergeCell ref="A14:E14"/>
    <mergeCell ref="D15:E15"/>
    <mergeCell ref="A16:G16"/>
    <mergeCell ref="A17:G17"/>
  </mergeCells>
  <pageMargins left="0.31496062992125984" right="0.11811023622047245" top="0.74803149606299213" bottom="0.74803149606299213" header="0.31496062992125984" footer="0.31496062992125984"/>
  <pageSetup paperSize="9" scale="69" orientation="portrait" horizontalDpi="180" verticalDpi="180" r:id="rId1"/>
  <rowBreaks count="1" manualBreakCount="1">
    <brk id="1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22015риц</vt:lpstr>
      <vt:lpstr>2015</vt:lpstr>
      <vt:lpstr>2015 общ</vt:lpstr>
      <vt:lpstr>2018</vt:lpstr>
      <vt:lpstr>Лист2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2019-03-21T11:35:14Z</dcterms:modified>
</cp:coreProperties>
</file>