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60" windowWidth="19440" windowHeight="12588" tabRatio="702" firstSheet="4" activeTab="4"/>
  </bookViews>
  <sheets>
    <sheet name="2014" sheetId="4" r:id="rId1"/>
    <sheet name="2015" sheetId="5" r:id="rId2"/>
    <sheet name="2015 с пров" sheetId="6" r:id="rId3"/>
    <sheet name=" Г Поп к3 1 2015" sheetId="2" r:id="rId4"/>
    <sheet name="2018" sheetId="10" r:id="rId5"/>
    <sheet name="Лист1" sheetId="1" r:id="rId6"/>
  </sheets>
  <definedNames>
    <definedName name="_xlnm.Print_Area" localSheetId="4">'2018'!$A$1:$H$44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8" i="10" l="1"/>
  <c r="D32" i="10" l="1"/>
  <c r="E27" i="10" l="1"/>
  <c r="F27" i="10" l="1"/>
  <c r="E24" i="10"/>
  <c r="A34" i="10"/>
  <c r="A29" i="10"/>
  <c r="C34" i="10"/>
  <c r="F38" i="10"/>
  <c r="E26" i="10"/>
  <c r="E25" i="10"/>
  <c r="F33" i="10"/>
  <c r="E33" i="10"/>
  <c r="F32" i="10"/>
  <c r="F24" i="10"/>
  <c r="F34" i="10" l="1"/>
  <c r="D29" i="10"/>
  <c r="F25" i="10"/>
  <c r="F26" i="10"/>
  <c r="F28" i="10"/>
  <c r="D34" i="10"/>
  <c r="E28" i="10"/>
  <c r="E29" i="10" s="1"/>
  <c r="C29" i="10"/>
  <c r="E32" i="10"/>
  <c r="E34" i="10" s="1"/>
  <c r="F7" i="10"/>
  <c r="F6" i="10"/>
  <c r="F5" i="10"/>
  <c r="F29" i="10" l="1"/>
  <c r="M39" i="6" l="1"/>
  <c r="M38" i="6" l="1"/>
  <c r="M41" i="6" s="1"/>
  <c r="E7" i="6" l="1"/>
  <c r="D87" i="6" l="1"/>
  <c r="D89" i="5" l="1"/>
  <c r="B80" i="5" l="1"/>
  <c r="C34" i="5" l="1"/>
  <c r="B34" i="5"/>
  <c r="A84" i="6"/>
  <c r="C83" i="6"/>
  <c r="D83" i="6" s="1"/>
  <c r="B83" i="6"/>
  <c r="C82" i="6"/>
  <c r="B82" i="6"/>
  <c r="B84" i="6" s="1"/>
  <c r="A78" i="6"/>
  <c r="A48" i="6"/>
  <c r="A40" i="6"/>
  <c r="E8" i="6"/>
  <c r="C84" i="6" l="1"/>
  <c r="E82" i="6"/>
  <c r="E83" i="6"/>
  <c r="D82" i="6"/>
  <c r="D84" i="6" s="1"/>
  <c r="E84" i="6" l="1"/>
  <c r="B86" i="5"/>
  <c r="C86" i="5"/>
  <c r="A86" i="5"/>
  <c r="C80" i="5"/>
  <c r="A80" i="5"/>
  <c r="B48" i="5"/>
  <c r="A48" i="5"/>
  <c r="B40" i="5"/>
  <c r="A40" i="5"/>
  <c r="D79" i="5"/>
  <c r="D39" i="5"/>
  <c r="E47" i="5"/>
  <c r="E38" i="5"/>
  <c r="D85" i="5" l="1"/>
  <c r="D77" i="5"/>
  <c r="D76" i="5"/>
  <c r="D47" i="5"/>
  <c r="E8" i="5"/>
  <c r="A80" i="4"/>
  <c r="C79" i="4"/>
  <c r="D79" i="4" s="1"/>
  <c r="B79" i="4"/>
  <c r="C78" i="4"/>
  <c r="C80" i="4" s="1"/>
  <c r="B78" i="4"/>
  <c r="B80" i="4" s="1"/>
  <c r="A74" i="4"/>
  <c r="C73" i="4"/>
  <c r="B73" i="4"/>
  <c r="C72" i="4"/>
  <c r="B72" i="4"/>
  <c r="D72" i="4" s="1"/>
  <c r="C71" i="4"/>
  <c r="B71" i="4"/>
  <c r="D71" i="4" s="1"/>
  <c r="C70" i="4"/>
  <c r="C74" i="4" s="1"/>
  <c r="B70" i="4"/>
  <c r="B74" i="4" s="1"/>
  <c r="A47" i="4"/>
  <c r="C46" i="4"/>
  <c r="D46" i="4" s="1"/>
  <c r="B46" i="4"/>
  <c r="C45" i="4"/>
  <c r="D45" i="4" s="1"/>
  <c r="B45" i="4"/>
  <c r="C44" i="4"/>
  <c r="D44" i="4" s="1"/>
  <c r="B44" i="4"/>
  <c r="D43" i="4"/>
  <c r="C43" i="4"/>
  <c r="B43" i="4"/>
  <c r="B47" i="4" s="1"/>
  <c r="A39" i="4"/>
  <c r="E38" i="4"/>
  <c r="C38" i="4"/>
  <c r="C37" i="4"/>
  <c r="B37" i="4"/>
  <c r="C36" i="4"/>
  <c r="B36" i="4"/>
  <c r="C35" i="4"/>
  <c r="B35" i="4"/>
  <c r="C34" i="4"/>
  <c r="C39" i="4" s="1"/>
  <c r="B34" i="4"/>
  <c r="E8" i="4"/>
  <c r="C47" i="4" l="1"/>
  <c r="E45" i="4"/>
  <c r="E73" i="4"/>
  <c r="D47" i="4"/>
  <c r="E34" i="4"/>
  <c r="E35" i="4"/>
  <c r="E36" i="4"/>
  <c r="E37" i="4"/>
  <c r="E44" i="4"/>
  <c r="E46" i="4"/>
  <c r="E71" i="4"/>
  <c r="E72" i="4"/>
  <c r="E78" i="5"/>
  <c r="E76" i="5"/>
  <c r="E77" i="5"/>
  <c r="D34" i="5"/>
  <c r="D35" i="5"/>
  <c r="D36" i="5"/>
  <c r="E75" i="5"/>
  <c r="E84" i="5"/>
  <c r="E85" i="5"/>
  <c r="D75" i="5"/>
  <c r="D80" i="5" s="1"/>
  <c r="D84" i="5"/>
  <c r="D86" i="5" s="1"/>
  <c r="D34" i="4"/>
  <c r="D35" i="4"/>
  <c r="D36" i="4"/>
  <c r="B39" i="4"/>
  <c r="E70" i="4"/>
  <c r="E78" i="4"/>
  <c r="E80" i="4" s="1"/>
  <c r="E79" i="4"/>
  <c r="E43" i="4"/>
  <c r="E47" i="4" s="1"/>
  <c r="D70" i="4"/>
  <c r="D74" i="4" s="1"/>
  <c r="D78" i="4"/>
  <c r="D80" i="4" s="1"/>
  <c r="E39" i="4" l="1"/>
  <c r="E74" i="4"/>
  <c r="E80" i="5"/>
  <c r="E86" i="5"/>
  <c r="D40" i="5"/>
  <c r="D39" i="4"/>
  <c r="C75" i="6" l="1"/>
  <c r="B75" i="6"/>
  <c r="D75" i="6" s="1"/>
  <c r="C77" i="6"/>
  <c r="B77" i="6"/>
  <c r="D77" i="6" s="1"/>
  <c r="C74" i="6"/>
  <c r="B74" i="6"/>
  <c r="D74" i="6" s="1"/>
  <c r="B76" i="6"/>
  <c r="AS16" i="2"/>
  <c r="AR16" i="2"/>
  <c r="AM16" i="2"/>
  <c r="AK16" i="2"/>
  <c r="AJ16" i="2"/>
  <c r="AI16" i="2"/>
  <c r="AH16" i="2"/>
  <c r="AG16" i="2"/>
  <c r="AF16" i="2"/>
  <c r="AE16" i="2"/>
  <c r="AD16" i="2"/>
  <c r="AC16" i="2"/>
  <c r="AB16" i="2"/>
  <c r="AA16" i="2"/>
  <c r="Z16" i="2"/>
  <c r="Y16" i="2"/>
  <c r="X16" i="2"/>
  <c r="W16" i="2"/>
  <c r="V16" i="2"/>
  <c r="U16" i="2"/>
  <c r="T16" i="2"/>
  <c r="S16" i="2"/>
  <c r="R16" i="2"/>
  <c r="Q16" i="2"/>
  <c r="P16" i="2"/>
  <c r="O16" i="2"/>
  <c r="N16" i="2"/>
  <c r="M16" i="2"/>
  <c r="L16" i="2"/>
  <c r="K16" i="2"/>
  <c r="J16" i="2"/>
  <c r="I16" i="2"/>
  <c r="H16" i="2"/>
  <c r="G16" i="2"/>
  <c r="F16" i="2"/>
  <c r="E16" i="2"/>
  <c r="D16" i="2"/>
  <c r="C16" i="2"/>
  <c r="AQ15" i="2"/>
  <c r="AO15" i="2"/>
  <c r="C44" i="6" s="1"/>
  <c r="AN15" i="2"/>
  <c r="B44" i="6" s="1"/>
  <c r="AL15" i="2"/>
  <c r="AQ14" i="2"/>
  <c r="AT14" i="2" s="1"/>
  <c r="AO14" i="2"/>
  <c r="C45" i="6" s="1"/>
  <c r="D45" i="6" s="1"/>
  <c r="AN14" i="2"/>
  <c r="B45" i="6" s="1"/>
  <c r="AL14" i="2"/>
  <c r="AQ13" i="2"/>
  <c r="AO13" i="2"/>
  <c r="C46" i="6" s="1"/>
  <c r="D46" i="6" s="1"/>
  <c r="AN13" i="2"/>
  <c r="B46" i="6" s="1"/>
  <c r="AL13" i="2"/>
  <c r="AQ12" i="2"/>
  <c r="AO12" i="2"/>
  <c r="AN12" i="2"/>
  <c r="AL12" i="2"/>
  <c r="AQ11" i="2"/>
  <c r="AO11" i="2"/>
  <c r="AN11" i="2"/>
  <c r="B36" i="6" s="1"/>
  <c r="AL11" i="2"/>
  <c r="AQ10" i="2"/>
  <c r="AT10" i="2" s="1"/>
  <c r="AO10" i="2"/>
  <c r="AN10" i="2"/>
  <c r="AL10" i="2"/>
  <c r="AQ9" i="2"/>
  <c r="AT9" i="2" s="1"/>
  <c r="AO9" i="2"/>
  <c r="AN9" i="2"/>
  <c r="AL9" i="2"/>
  <c r="AQ8" i="2"/>
  <c r="AO8" i="2"/>
  <c r="C47" i="6" s="1"/>
  <c r="D47" i="6" s="1"/>
  <c r="AN8" i="2"/>
  <c r="AL8" i="2"/>
  <c r="AQ7" i="2"/>
  <c r="AT7" i="2" s="1"/>
  <c r="AO7" i="2"/>
  <c r="AN7" i="2"/>
  <c r="AL7" i="2"/>
  <c r="AQ6" i="2"/>
  <c r="AO6" i="2"/>
  <c r="C38" i="6" s="1"/>
  <c r="AN6" i="2"/>
  <c r="AL6" i="2"/>
  <c r="AQ5" i="2"/>
  <c r="AO5" i="2"/>
  <c r="AN5" i="2"/>
  <c r="B37" i="6" s="1"/>
  <c r="AL5" i="2"/>
  <c r="AQ4" i="2"/>
  <c r="AO4" i="2"/>
  <c r="C34" i="6" s="1"/>
  <c r="AN4" i="2"/>
  <c r="AL4" i="2"/>
  <c r="E74" i="6" l="1"/>
  <c r="E75" i="6"/>
  <c r="AN16" i="2"/>
  <c r="AN19" i="2" s="1"/>
  <c r="B34" i="6"/>
  <c r="AP6" i="2"/>
  <c r="B38" i="6"/>
  <c r="E38" i="6" s="1"/>
  <c r="AP7" i="2"/>
  <c r="B35" i="6"/>
  <c r="AP8" i="2"/>
  <c r="B47" i="6"/>
  <c r="E47" i="6" s="1"/>
  <c r="E39" i="5"/>
  <c r="C39" i="6"/>
  <c r="E36" i="5"/>
  <c r="C36" i="6"/>
  <c r="C48" i="6"/>
  <c r="D44" i="6"/>
  <c r="D48" i="6" s="1"/>
  <c r="C76" i="6"/>
  <c r="E76" i="6" s="1"/>
  <c r="E37" i="5"/>
  <c r="C37" i="6"/>
  <c r="E37" i="6" s="1"/>
  <c r="E35" i="5"/>
  <c r="C35" i="6"/>
  <c r="C40" i="6" s="1"/>
  <c r="AP10" i="2"/>
  <c r="B39" i="6"/>
  <c r="D36" i="6"/>
  <c r="E36" i="6"/>
  <c r="AP12" i="2"/>
  <c r="E46" i="6"/>
  <c r="E45" i="6"/>
  <c r="B48" i="6"/>
  <c r="E44" i="6"/>
  <c r="B73" i="6"/>
  <c r="C73" i="6"/>
  <c r="E44" i="5"/>
  <c r="D44" i="5"/>
  <c r="AP15" i="2"/>
  <c r="E45" i="5"/>
  <c r="D45" i="5"/>
  <c r="AP14" i="2"/>
  <c r="C48" i="5"/>
  <c r="D46" i="5"/>
  <c r="E46" i="5"/>
  <c r="AP13" i="2"/>
  <c r="AP11" i="2"/>
  <c r="AT16" i="2"/>
  <c r="AP9" i="2"/>
  <c r="AP5" i="2"/>
  <c r="AO16" i="2"/>
  <c r="AO19" i="2" s="1"/>
  <c r="AL16" i="2"/>
  <c r="AP4" i="2"/>
  <c r="E48" i="6" l="1"/>
  <c r="D73" i="6"/>
  <c r="D78" i="6" s="1"/>
  <c r="B78" i="6"/>
  <c r="D34" i="6"/>
  <c r="E34" i="6"/>
  <c r="B40" i="6"/>
  <c r="AP16" i="2"/>
  <c r="D39" i="6"/>
  <c r="E39" i="6"/>
  <c r="D35" i="6"/>
  <c r="E35" i="6"/>
  <c r="C78" i="6"/>
  <c r="E73" i="6"/>
  <c r="E48" i="5"/>
  <c r="D48" i="5"/>
  <c r="C40" i="5"/>
  <c r="E34" i="5"/>
  <c r="E40" i="5" s="1"/>
  <c r="E78" i="6" l="1"/>
  <c r="E40" i="6"/>
  <c r="G78" i="6"/>
  <c r="D40" i="6"/>
</calcChain>
</file>

<file path=xl/comments1.xml><?xml version="1.0" encoding="utf-8"?>
<comments xmlns="http://schemas.openxmlformats.org/spreadsheetml/2006/main">
  <authors>
    <author>Автор</author>
  </authors>
  <commentList>
    <comment ref="B24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инд отоплен</t>
        </r>
      </text>
    </comment>
  </commentList>
</comments>
</file>

<file path=xl/sharedStrings.xml><?xml version="1.0" encoding="utf-8"?>
<sst xmlns="http://schemas.openxmlformats.org/spreadsheetml/2006/main" count="468" uniqueCount="147">
  <si>
    <t>Генерала Попова д.18 корп 3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</si>
  <si>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</si>
  <si>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</si>
  <si>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</si>
  <si>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</si>
  <si>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</si>
  <si>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</si>
  <si>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</si>
  <si>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</si>
  <si>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</si>
  <si>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</si>
  <si>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</si>
  <si>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</si>
  <si>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</t>
  </si>
  <si>
    <t>Начислено</t>
  </si>
  <si>
    <t>Оплачено</t>
  </si>
  <si>
    <t>Долг</t>
  </si>
  <si>
    <t>оплата</t>
  </si>
  <si>
    <t>Содержание</t>
  </si>
  <si>
    <t>Ремонт</t>
  </si>
  <si>
    <t>Кап. ремонт</t>
  </si>
  <si>
    <t>Лифт</t>
  </si>
  <si>
    <t>Электроэнергия</t>
  </si>
  <si>
    <t>Мусоропрвод</t>
  </si>
  <si>
    <t>доп. Услуги</t>
  </si>
  <si>
    <t>ТБО</t>
  </si>
  <si>
    <t>Наем</t>
  </si>
  <si>
    <t>ЦО</t>
  </si>
  <si>
    <t>ГВС</t>
  </si>
  <si>
    <t>ХВС</t>
  </si>
  <si>
    <t>Итого:</t>
  </si>
  <si>
    <t>Генерала Попова 18 корпус 3</t>
  </si>
  <si>
    <t>Общая информация</t>
  </si>
  <si>
    <t>год постройки</t>
  </si>
  <si>
    <t>1994/2010</t>
  </si>
  <si>
    <t>этажность</t>
  </si>
  <si>
    <t>кол- во квартир</t>
  </si>
  <si>
    <t>площадь жилых помещений</t>
  </si>
  <si>
    <t>площадь нежилых помещений</t>
  </si>
  <si>
    <t>площадь всех помещений общего пользования</t>
  </si>
  <si>
    <t>уровень благоустройства</t>
  </si>
  <si>
    <t>дом со всеми видами благоустройства, с лифтами и мусоропроводами</t>
  </si>
  <si>
    <t>серия и тип постройки</t>
  </si>
  <si>
    <t>-</t>
  </si>
  <si>
    <t>кадастровый номер</t>
  </si>
  <si>
    <t>S земельного участка (входящего в состав общего имущества в многоквартирном доме)</t>
  </si>
  <si>
    <t>конструктивные и технические параметры</t>
  </si>
  <si>
    <t>кирпичный 4-х подъездный дом</t>
  </si>
  <si>
    <t>системы инжинерно- технического обеспечения</t>
  </si>
  <si>
    <t>дом с центральным отоплением через 4 элеваторных узла. ГВС от центрольно-теплового цункта. Водоснабжение и водоотведение центральное.</t>
  </si>
  <si>
    <t>Использование общего имущества</t>
  </si>
  <si>
    <t>информация об использовании общего имущества в многоквартирном доме</t>
  </si>
  <si>
    <t>оборудование Центртелеком</t>
  </si>
  <si>
    <t>Протоколы общего собрания за 2014 год.</t>
  </si>
  <si>
    <t>протокол от 19.10.14г.</t>
  </si>
  <si>
    <t>Герметизация термошва 2 очереди строительства</t>
  </si>
  <si>
    <t>Решение принято</t>
  </si>
  <si>
    <t>ОТЧЕТ УПРАВЛЯЮЩЕЙ ОРГАНИЗАЦИИ</t>
  </si>
  <si>
    <t>ООО "Управляющая компания "Правград"</t>
  </si>
  <si>
    <t>ПЕРЕД СОБСТВЕННИКАМИ ПОМЕЩЕНИЙ О ВЫПОЛНЕНИИ ДОГОВОРА УПРАВЛЕНИЯ № 01-30/01-09 от 30.06.09г. ЗА 2014 год.</t>
  </si>
  <si>
    <t>1. Общие сведения о многоквартирном доме</t>
  </si>
  <si>
    <r>
      <t xml:space="preserve">Адрес многоквартирного дома </t>
    </r>
    <r>
      <rPr>
        <u/>
        <sz val="9"/>
        <color theme="1"/>
        <rFont val="Times New Roman"/>
        <family val="1"/>
        <charset val="204"/>
      </rPr>
      <t>г.Калуга, ул. Генерала попова д. 18 корпус 3</t>
    </r>
  </si>
  <si>
    <t>Общая площадь площадь жилых помещений 3936,2</t>
  </si>
  <si>
    <r>
      <t xml:space="preserve">Число квартир </t>
    </r>
    <r>
      <rPr>
        <u/>
        <sz val="9"/>
        <color theme="1"/>
        <rFont val="Times New Roman"/>
        <family val="1"/>
        <charset val="204"/>
      </rPr>
      <t>72</t>
    </r>
  </si>
  <si>
    <r>
      <t>Год постройки</t>
    </r>
    <r>
      <rPr>
        <u/>
        <sz val="9"/>
        <color theme="1"/>
        <rFont val="Times New Roman"/>
        <family val="1"/>
        <charset val="204"/>
      </rPr>
      <t xml:space="preserve"> 1994</t>
    </r>
  </si>
  <si>
    <t>2. Отчет по затратам на содержание, ремонт общего имущества в многоквартирном доме и коммунальные услуги за отчетный период</t>
  </si>
  <si>
    <t xml:space="preserve">Сумма задолженности начселения на 01.01.2014г., руб </t>
  </si>
  <si>
    <t>Начислено в 2014, руб</t>
  </si>
  <si>
    <t>Поступило средств в 2014г., руб</t>
  </si>
  <si>
    <t>Перечислено поставщикам услуги</t>
  </si>
  <si>
    <t>Задолженность собственников и нанимателей на 01.01.2015г., руб</t>
  </si>
  <si>
    <t>Виды услуг</t>
  </si>
  <si>
    <t>Содержание общего имущества + мусоропровод</t>
  </si>
  <si>
    <t>Содержание лифтов</t>
  </si>
  <si>
    <t>Сбор и вывоз твердых бытовых отходов от контейнеров( с учетом КГО)</t>
  </si>
  <si>
    <t>Текущий ремонт общего имущества</t>
  </si>
  <si>
    <t>Капитальный ремонт общего имущества</t>
  </si>
  <si>
    <t xml:space="preserve">Итого </t>
  </si>
  <si>
    <t>Коммунальные услуги:</t>
  </si>
  <si>
    <t>Коммунальные услуги, в том числе:</t>
  </si>
  <si>
    <t>Водоснабжение и водоотведение</t>
  </si>
  <si>
    <t>Горячее водоснабжение</t>
  </si>
  <si>
    <t>Центральное отопление</t>
  </si>
  <si>
    <t>Электроэнергия (в том числе освещение мест общего пользования)</t>
  </si>
  <si>
    <t>3. Отчет о фактически выполненных работах по ремонту общего имущества в многоквартирном доме на основании принятого решения собственниками помещений</t>
  </si>
  <si>
    <t>№ п/п</t>
  </si>
  <si>
    <t>Дата принятого решения собственниками помещения</t>
  </si>
  <si>
    <t>Виды услуг работ</t>
  </si>
  <si>
    <t>стоимость работ, руб</t>
  </si>
  <si>
    <t>Текущий ремонт</t>
  </si>
  <si>
    <t>1.1.</t>
  </si>
  <si>
    <t>Капитальный ремонт</t>
  </si>
  <si>
    <t>2.1.</t>
  </si>
  <si>
    <t>ПЕРЕД СОБСТВЕННИКАМИ ПОМЕЩЕНИЙ О ВЫПОЛНЕНИИ ДОГОВОРА УПРАВЛЕНИЯ № 01-30/01-09  г. ЗА 2014 год.</t>
  </si>
  <si>
    <r>
      <t xml:space="preserve">Адрес многоквартирного дома </t>
    </r>
    <r>
      <rPr>
        <u/>
        <sz val="9"/>
        <color theme="1"/>
        <rFont val="Times New Roman"/>
        <family val="1"/>
        <charset val="204"/>
      </rPr>
      <t>г.Калуга, ул. Генерала Попова д. 18 корпус 3 ( II - я очередь)</t>
    </r>
  </si>
  <si>
    <r>
      <t xml:space="preserve">Общая площадь площадь жилых помещений </t>
    </r>
    <r>
      <rPr>
        <u/>
        <sz val="9"/>
        <color theme="1"/>
        <rFont val="Times New Roman"/>
        <family val="1"/>
        <charset val="204"/>
      </rPr>
      <t>6395,2</t>
    </r>
  </si>
  <si>
    <r>
      <t xml:space="preserve">Число квартир </t>
    </r>
    <r>
      <rPr>
        <u/>
        <sz val="9"/>
        <color theme="1"/>
        <rFont val="Times New Roman"/>
        <family val="1"/>
        <charset val="204"/>
      </rPr>
      <t>98</t>
    </r>
  </si>
  <si>
    <r>
      <t>Год постройки</t>
    </r>
    <r>
      <rPr>
        <u/>
        <sz val="9"/>
        <color theme="1"/>
        <rFont val="Times New Roman"/>
        <family val="1"/>
        <charset val="204"/>
      </rPr>
      <t xml:space="preserve"> 2011</t>
    </r>
  </si>
  <si>
    <t>Содержание общего имущества</t>
  </si>
  <si>
    <t>окт.2014г.</t>
  </si>
  <si>
    <t>Герметизация термошва 2-й очереди строительства</t>
  </si>
  <si>
    <t>Дополнительная услуга ( уборка л/к)</t>
  </si>
  <si>
    <t>Протоколы общего собрания за 2015 год.</t>
  </si>
  <si>
    <t>ПЕРЕД СОБСТВЕННИКАМИ ПОМЕЩЕНИЙ О ВЫПОЛНЕНИИ ДОГОВОРА УПРАВЛЕНИЯ № 01-30/01-09 от 30.06.09г. ЗА 2015 год.</t>
  </si>
  <si>
    <t xml:space="preserve">Сумма задолженности начселения на 01.01.2015г., руб </t>
  </si>
  <si>
    <t>Начислено в 2015, руб</t>
  </si>
  <si>
    <t>Поступило средств в 2015г., руб</t>
  </si>
  <si>
    <t>Задолженность собственников и нанимателей на 01.01.2016г., руб</t>
  </si>
  <si>
    <t>ПЕРЕД СОБСТВЕННИКАМИ ПОМЕЩЕНИЙ О ВЫПОЛНЕНИИ ДОГОВОРА УПРАВЛЕНИЯ № 01-30/01-09  г. ЗА 2015 год.</t>
  </si>
  <si>
    <r>
      <t xml:space="preserve">Адрес многоквартирного дома </t>
    </r>
    <r>
      <rPr>
        <u/>
        <sz val="9"/>
        <color theme="1"/>
        <rFont val="Times New Roman"/>
        <family val="1"/>
        <charset val="204"/>
      </rPr>
      <t xml:space="preserve">г.Калуга, ул. Генерала Попова д. 18 корпус 3 </t>
    </r>
    <r>
      <rPr>
        <b/>
        <u/>
        <sz val="9"/>
        <color rgb="FF002060"/>
        <rFont val="Times New Roman"/>
        <family val="1"/>
        <charset val="204"/>
      </rPr>
      <t>( II - я очередь)</t>
    </r>
  </si>
  <si>
    <t xml:space="preserve">  1.1</t>
  </si>
  <si>
    <t xml:space="preserve">  1.2</t>
  </si>
  <si>
    <t>Ремонт кровли</t>
  </si>
  <si>
    <t>акт аварийности</t>
  </si>
  <si>
    <t>2 очередь</t>
  </si>
  <si>
    <t xml:space="preserve">Общая информация </t>
  </si>
  <si>
    <t xml:space="preserve">Общая площадь площадь жилых помещений </t>
  </si>
  <si>
    <t>оборудование  МТС+ МАКСНЕТ+РОСТЕЛЕКОМ+Вымпелком</t>
  </si>
  <si>
    <t>мтс</t>
  </si>
  <si>
    <t>макснет</t>
  </si>
  <si>
    <t>вымпелком</t>
  </si>
  <si>
    <t>электрокроком</t>
  </si>
  <si>
    <t>всего</t>
  </si>
  <si>
    <t>Текущий ремонт общего имущества, в т.ч. оплата от провайдеров</t>
  </si>
  <si>
    <t>Тарифы</t>
  </si>
  <si>
    <t>Общая площадь площадь жилых помещений</t>
  </si>
  <si>
    <t xml:space="preserve">Число квартир </t>
  </si>
  <si>
    <t xml:space="preserve">Текущий ремонт </t>
  </si>
  <si>
    <r>
      <t>Год постройки</t>
    </r>
    <r>
      <rPr>
        <u/>
        <sz val="11"/>
        <color theme="1"/>
        <rFont val="Times New Roman"/>
        <family val="1"/>
        <charset val="204"/>
      </rPr>
      <t xml:space="preserve"> 2011</t>
    </r>
  </si>
  <si>
    <t>110руб с кв</t>
  </si>
  <si>
    <t xml:space="preserve"> решения собственниками помещения</t>
  </si>
  <si>
    <r>
      <t xml:space="preserve">Адрес многоквартирного дома </t>
    </r>
    <r>
      <rPr>
        <b/>
        <u/>
        <sz val="11"/>
        <color theme="1"/>
        <rFont val="Times New Roman"/>
        <family val="1"/>
        <charset val="204"/>
      </rPr>
      <t xml:space="preserve">г.Калуга, ул. Генерала Попова д. 18 корпус 3а </t>
    </r>
    <r>
      <rPr>
        <b/>
        <u/>
        <sz val="11"/>
        <color rgb="FF002060"/>
        <rFont val="Times New Roman"/>
        <family val="1"/>
        <charset val="204"/>
      </rPr>
      <t>( II - я очередь)</t>
    </r>
  </si>
  <si>
    <t>ПЕРЕД СОБСТВЕННИКАМИ ПОМЕЩЕНИЙ О ВЫПОЛНЕНИИ ДОГОВОРА УПРАВЛЕНИЯ № 01-30/01-09  г. ЗА 2018 год</t>
  </si>
  <si>
    <t xml:space="preserve">Сумма задолженности начселения на 01.01.2018г., руб </t>
  </si>
  <si>
    <t>Начислено в 2018, руб</t>
  </si>
  <si>
    <t>Поступило средств в 2018г., руб</t>
  </si>
  <si>
    <t>Задолженность собственников и нанимателей на 01.01.2019г., руб</t>
  </si>
  <si>
    <t>Остаток по тек. ремонту, на январь 2018 руб.</t>
  </si>
  <si>
    <t>Итого остаток по тек. ремонту, на январь 2019 руб.</t>
  </si>
  <si>
    <t>Генерала Попова 18 корпус 3а</t>
  </si>
  <si>
    <t>Ремонт кровли над кв. 122, 123</t>
  </si>
  <si>
    <t>Работы по наружному утеплению стены к 156</t>
  </si>
  <si>
    <t>Услуги экскаватора-погрузчика 06.12.2018; 25.12.218-0,43час; 28.12.2018-1час</t>
  </si>
  <si>
    <t xml:space="preserve">  Работы по ст. "Содержание" выполняются ежемесячно  по подрядным договорам, актам аварийности и актам выполненных работ с подрядными организациями: в т.ч. обслуживание газопроводов ОАО «Калугаоблгаз», обслуживание газоходов, вентканалов в ООО «ЖилСпецРСУ», квитанции за ЖКУ расчетный центр ООО «ЕИРЦ №1», содержание ОИ эл/эн ПАО "Калужская Сбытовая Компания", т.д., или собствеными силами специалистов управляющей компании.ТБО - Спецавтохозяйство", обслуживание и текущий ремонт лифтов: договор на тех.обслуживание с ОАО «Калугалифтремстрой», договор по периодическому тех. освидетельствованию с ОАО «Калугалифт», страхование лифтов-КФ АО "Альфастрахование". С технической документацией Вы можете ознакомиться в офисе УК по адресу: ул. Генерала Попова д. 10 корп. 2 оф. 95</t>
  </si>
  <si>
    <t>В целях контроля отчет предоставлен__________________/________________ "___"____________  _______года</t>
  </si>
  <si>
    <t xml:space="preserve">                            (подпись)</t>
  </si>
  <si>
    <t>ВНИМАНИЕ: Общий долг жителей Вашего дома за жилищно-коммунальные услуги равен 547255,36руб., в т.ч. по кв. 89,92,93,98,102,109,138,148,151,157,164,166,171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</si>
</sst>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%"/>
  </numFmts>
  <fonts count="4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11"/>
      <color theme="3" tint="-0.249977111117893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b/>
      <u/>
      <sz val="9"/>
      <name val="Times New Roman"/>
      <family val="1"/>
      <charset val="204"/>
    </font>
    <font>
      <b/>
      <u/>
      <sz val="9"/>
      <color theme="1"/>
      <name val="Times New Roman"/>
      <family val="1"/>
      <charset val="204"/>
    </font>
    <font>
      <u/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b/>
      <u/>
      <sz val="9"/>
      <color rgb="FF002060"/>
      <name val="Times New Roman"/>
      <family val="1"/>
      <charset val="204"/>
    </font>
    <font>
      <sz val="11"/>
      <color theme="1"/>
      <name val="Calibri"/>
      <family val="2"/>
      <scheme val="minor"/>
    </font>
    <font>
      <sz val="9"/>
      <color rgb="FFFF0000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b/>
      <sz val="9"/>
      <color rgb="FFFF0000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u/>
      <sz val="1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u/>
      <sz val="11"/>
      <color rgb="FF002060"/>
      <name val="Times New Roman"/>
      <family val="1"/>
      <charset val="204"/>
    </font>
    <font>
      <u/>
      <sz val="11"/>
      <color rgb="FFFF0000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rgb="FF9BFF9D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7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4" fillId="0" borderId="0"/>
    <xf numFmtId="9" fontId="20" fillId="0" borderId="0" applyFont="0" applyFill="0" applyBorder="0" applyAlignment="0" applyProtection="0"/>
    <xf numFmtId="0" fontId="2" fillId="0" borderId="0"/>
  </cellStyleXfs>
  <cellXfs count="229">
    <xf numFmtId="0" fontId="0" fillId="0" borderId="0" xfId="0"/>
    <xf numFmtId="0" fontId="7" fillId="0" borderId="0" xfId="1" applyFont="1" applyFill="1" applyBorder="1"/>
    <xf numFmtId="0" fontId="7" fillId="0" borderId="0" xfId="1" applyFont="1"/>
    <xf numFmtId="0" fontId="4" fillId="0" borderId="0" xfId="1"/>
    <xf numFmtId="0" fontId="4" fillId="0" borderId="1" xfId="1" applyBorder="1"/>
    <xf numFmtId="17" fontId="8" fillId="0" borderId="2" xfId="1" applyNumberFormat="1" applyFont="1" applyBorder="1" applyAlignment="1">
      <alignment horizontal="center"/>
    </xf>
    <xf numFmtId="0" fontId="8" fillId="0" borderId="0" xfId="1" applyFont="1" applyBorder="1" applyAlignment="1">
      <alignment horizontal="center"/>
    </xf>
    <xf numFmtId="0" fontId="8" fillId="0" borderId="1" xfId="1" applyFont="1" applyBorder="1"/>
    <xf numFmtId="0" fontId="8" fillId="0" borderId="0" xfId="1" applyFont="1" applyBorder="1"/>
    <xf numFmtId="0" fontId="6" fillId="2" borderId="1" xfId="1" applyFont="1" applyFill="1" applyBorder="1"/>
    <xf numFmtId="0" fontId="6" fillId="3" borderId="1" xfId="1" applyFont="1" applyFill="1" applyBorder="1"/>
    <xf numFmtId="0" fontId="4" fillId="4" borderId="1" xfId="1" applyFill="1" applyBorder="1"/>
    <xf numFmtId="2" fontId="4" fillId="0" borderId="1" xfId="1" applyNumberFormat="1" applyBorder="1"/>
    <xf numFmtId="2" fontId="5" fillId="0" borderId="1" xfId="1" applyNumberFormat="1" applyFont="1" applyBorder="1"/>
    <xf numFmtId="164" fontId="4" fillId="0" borderId="1" xfId="1" applyNumberFormat="1" applyBorder="1"/>
    <xf numFmtId="164" fontId="5" fillId="0" borderId="1" xfId="1" applyNumberFormat="1" applyFont="1" applyBorder="1"/>
    <xf numFmtId="2" fontId="4" fillId="4" borderId="1" xfId="1" applyNumberFormat="1" applyFill="1" applyBorder="1"/>
    <xf numFmtId="0" fontId="6" fillId="0" borderId="1" xfId="1" applyFont="1" applyBorder="1"/>
    <xf numFmtId="0" fontId="6" fillId="0" borderId="0" xfId="1" applyFont="1" applyBorder="1"/>
    <xf numFmtId="0" fontId="4" fillId="0" borderId="0" xfId="1" applyAlignment="1">
      <alignment wrapText="1"/>
    </xf>
    <xf numFmtId="0" fontId="10" fillId="0" borderId="0" xfId="1" applyFont="1" applyAlignment="1">
      <alignment horizontal="center" wrapText="1"/>
    </xf>
    <xf numFmtId="0" fontId="11" fillId="0" borderId="1" xfId="1" applyFont="1" applyBorder="1" applyAlignment="1">
      <alignment horizontal="right" vertical="center" wrapText="1"/>
    </xf>
    <xf numFmtId="0" fontId="11" fillId="0" borderId="0" xfId="1" applyFont="1" applyAlignment="1">
      <alignment horizontal="right" vertical="center" wrapText="1"/>
    </xf>
    <xf numFmtId="0" fontId="11" fillId="0" borderId="0" xfId="1" applyFont="1" applyBorder="1" applyAlignment="1">
      <alignment wrapText="1"/>
    </xf>
    <xf numFmtId="0" fontId="11" fillId="0" borderId="0" xfId="1" applyFont="1" applyAlignment="1">
      <alignment wrapText="1"/>
    </xf>
    <xf numFmtId="0" fontId="11" fillId="0" borderId="2" xfId="1" applyFont="1" applyBorder="1" applyAlignment="1">
      <alignment horizontal="right" vertical="center" wrapText="1"/>
    </xf>
    <xf numFmtId="0" fontId="12" fillId="5" borderId="1" xfId="1" applyFont="1" applyFill="1" applyBorder="1" applyAlignment="1">
      <alignment horizontal="center" vertical="center" wrapText="1"/>
    </xf>
    <xf numFmtId="0" fontId="11" fillId="5" borderId="1" xfId="1" applyFont="1" applyFill="1" applyBorder="1" applyAlignment="1">
      <alignment horizontal="center" vertical="center" wrapText="1"/>
    </xf>
    <xf numFmtId="0" fontId="11" fillId="0" borderId="1" xfId="1" applyFont="1" applyBorder="1" applyAlignment="1">
      <alignment horizontal="center" vertical="center" wrapText="1"/>
    </xf>
    <xf numFmtId="0" fontId="11" fillId="0" borderId="0" xfId="1" applyFont="1" applyBorder="1" applyAlignment="1">
      <alignment horizontal="center" vertical="center" wrapText="1"/>
    </xf>
    <xf numFmtId="0" fontId="11" fillId="0" borderId="0" xfId="1" applyFont="1" applyAlignment="1"/>
    <xf numFmtId="0" fontId="11" fillId="0" borderId="0" xfId="1" applyFont="1"/>
    <xf numFmtId="0" fontId="13" fillId="0" borderId="0" xfId="1" applyFont="1" applyBorder="1" applyAlignment="1">
      <alignment horizontal="center" vertical="center" wrapText="1"/>
    </xf>
    <xf numFmtId="0" fontId="15" fillId="0" borderId="0" xfId="1" applyFont="1" applyAlignment="1"/>
    <xf numFmtId="0" fontId="12" fillId="0" borderId="1" xfId="1" applyFont="1" applyBorder="1" applyAlignment="1">
      <alignment horizontal="center" vertical="center" wrapText="1"/>
    </xf>
    <xf numFmtId="0" fontId="11" fillId="0" borderId="1" xfId="1" applyFont="1" applyBorder="1" applyAlignment="1">
      <alignment horizontal="center" wrapText="1"/>
    </xf>
    <xf numFmtId="0" fontId="11" fillId="0" borderId="1" xfId="1" applyFont="1" applyBorder="1" applyAlignment="1">
      <alignment wrapText="1"/>
    </xf>
    <xf numFmtId="2" fontId="11" fillId="0" borderId="1" xfId="1" applyNumberFormat="1" applyFont="1" applyFill="1" applyBorder="1"/>
    <xf numFmtId="2" fontId="11" fillId="0" borderId="1" xfId="1" applyNumberFormat="1" applyFont="1" applyBorder="1"/>
    <xf numFmtId="2" fontId="13" fillId="0" borderId="1" xfId="1" applyNumberFormat="1" applyFont="1" applyBorder="1"/>
    <xf numFmtId="0" fontId="13" fillId="0" borderId="1" xfId="1" applyFont="1" applyBorder="1" applyAlignment="1">
      <alignment wrapText="1"/>
    </xf>
    <xf numFmtId="0" fontId="13" fillId="0" borderId="0" xfId="1" applyFont="1" applyBorder="1"/>
    <xf numFmtId="2" fontId="13" fillId="0" borderId="0" xfId="1" applyNumberFormat="1" applyFont="1" applyBorder="1"/>
    <xf numFmtId="0" fontId="13" fillId="0" borderId="1" xfId="1" applyNumberFormat="1" applyFont="1" applyBorder="1" applyAlignment="1">
      <alignment horizontal="center" vertical="center" wrapText="1"/>
    </xf>
    <xf numFmtId="0" fontId="13" fillId="0" borderId="1" xfId="1" applyFont="1" applyBorder="1" applyAlignment="1">
      <alignment horizontal="center" vertical="center" wrapText="1"/>
    </xf>
    <xf numFmtId="2" fontId="10" fillId="0" borderId="1" xfId="1" applyNumberFormat="1" applyFont="1" applyBorder="1" applyAlignment="1">
      <alignment horizontal="center"/>
    </xf>
    <xf numFmtId="0" fontId="10" fillId="0" borderId="0" xfId="1" applyFont="1"/>
    <xf numFmtId="0" fontId="6" fillId="0" borderId="0" xfId="1" applyFont="1"/>
    <xf numFmtId="0" fontId="12" fillId="0" borderId="1" xfId="1" applyNumberFormat="1" applyFont="1" applyBorder="1" applyAlignment="1">
      <alignment horizontal="center" vertical="center" wrapText="1"/>
    </xf>
    <xf numFmtId="14" fontId="12" fillId="0" borderId="1" xfId="1" applyNumberFormat="1" applyFont="1" applyBorder="1" applyAlignment="1">
      <alignment horizontal="center" vertical="center" wrapText="1"/>
    </xf>
    <xf numFmtId="2" fontId="11" fillId="0" borderId="1" xfId="1" applyNumberFormat="1" applyFont="1" applyBorder="1" applyAlignment="1">
      <alignment horizontal="center"/>
    </xf>
    <xf numFmtId="0" fontId="10" fillId="0" borderId="1" xfId="1" applyNumberFormat="1" applyFont="1" applyBorder="1" applyAlignment="1">
      <alignment horizontal="center"/>
    </xf>
    <xf numFmtId="0" fontId="10" fillId="0" borderId="1" xfId="1" applyFont="1" applyBorder="1"/>
    <xf numFmtId="0" fontId="10" fillId="0" borderId="1" xfId="1" applyFont="1" applyBorder="1" applyAlignment="1">
      <alignment horizontal="center"/>
    </xf>
    <xf numFmtId="0" fontId="11" fillId="0" borderId="1" xfId="1" applyNumberFormat="1" applyFont="1" applyBorder="1" applyAlignment="1">
      <alignment horizontal="center"/>
    </xf>
    <xf numFmtId="0" fontId="11" fillId="0" borderId="1" xfId="1" applyFont="1" applyBorder="1" applyAlignment="1">
      <alignment horizontal="center"/>
    </xf>
    <xf numFmtId="0" fontId="4" fillId="0" borderId="0" xfId="1" applyAlignment="1">
      <alignment horizontal="right" vertical="center" wrapText="1"/>
    </xf>
    <xf numFmtId="0" fontId="18" fillId="0" borderId="2" xfId="1" applyFont="1" applyBorder="1" applyAlignment="1">
      <alignment horizontal="right" vertical="center" wrapText="1"/>
    </xf>
    <xf numFmtId="0" fontId="18" fillId="5" borderId="1" xfId="1" applyFont="1" applyFill="1" applyBorder="1" applyAlignment="1">
      <alignment horizontal="center" vertical="center" wrapText="1"/>
    </xf>
    <xf numFmtId="0" fontId="18" fillId="0" borderId="1" xfId="1" applyFont="1" applyBorder="1" applyAlignment="1">
      <alignment horizontal="center" vertical="center" wrapText="1"/>
    </xf>
    <xf numFmtId="0" fontId="11" fillId="0" borderId="1" xfId="1" applyFont="1" applyBorder="1" applyAlignment="1">
      <alignment vertical="center" wrapText="1"/>
    </xf>
    <xf numFmtId="0" fontId="11" fillId="0" borderId="0" xfId="1" applyFont="1" applyAlignment="1"/>
    <xf numFmtId="0" fontId="11" fillId="0" borderId="0" xfId="1" applyFont="1" applyAlignment="1">
      <alignment wrapText="1"/>
    </xf>
    <xf numFmtId="0" fontId="4" fillId="0" borderId="0" xfId="1" applyAlignment="1">
      <alignment wrapText="1"/>
    </xf>
    <xf numFmtId="0" fontId="11" fillId="0" borderId="1" xfId="1" applyFont="1" applyBorder="1" applyAlignment="1">
      <alignment horizontal="center" vertical="center" wrapText="1"/>
    </xf>
    <xf numFmtId="0" fontId="10" fillId="0" borderId="0" xfId="1" applyFont="1" applyAlignment="1">
      <alignment horizontal="center" wrapText="1"/>
    </xf>
    <xf numFmtId="0" fontId="18" fillId="0" borderId="1" xfId="1" applyFont="1" applyBorder="1" applyAlignment="1">
      <alignment horizontal="center" vertical="center" wrapText="1"/>
    </xf>
    <xf numFmtId="165" fontId="4" fillId="0" borderId="0" xfId="2" applyNumberFormat="1" applyFont="1" applyAlignment="1">
      <alignment wrapText="1"/>
    </xf>
    <xf numFmtId="0" fontId="3" fillId="0" borderId="0" xfId="1" applyFont="1"/>
    <xf numFmtId="0" fontId="4" fillId="0" borderId="0" xfId="1" applyAlignment="1">
      <alignment wrapText="1"/>
    </xf>
    <xf numFmtId="0" fontId="18" fillId="0" borderId="1" xfId="1" applyFont="1" applyBorder="1" applyAlignment="1">
      <alignment horizontal="center" vertical="center" wrapText="1"/>
    </xf>
    <xf numFmtId="2" fontId="4" fillId="0" borderId="0" xfId="1" applyNumberFormat="1" applyAlignment="1">
      <alignment wrapText="1"/>
    </xf>
    <xf numFmtId="2" fontId="4" fillId="0" borderId="0" xfId="1" applyNumberFormat="1"/>
    <xf numFmtId="2" fontId="12" fillId="0" borderId="1" xfId="1" applyNumberFormat="1" applyFont="1" applyBorder="1"/>
    <xf numFmtId="2" fontId="12" fillId="0" borderId="1" xfId="1" applyNumberFormat="1" applyFont="1" applyFill="1" applyBorder="1"/>
    <xf numFmtId="2" fontId="12" fillId="5" borderId="1" xfId="1" applyNumberFormat="1" applyFont="1" applyFill="1" applyBorder="1"/>
    <xf numFmtId="0" fontId="12" fillId="0" borderId="1" xfId="1" applyFont="1" applyBorder="1" applyAlignment="1">
      <alignment wrapText="1"/>
    </xf>
    <xf numFmtId="0" fontId="9" fillId="0" borderId="0" xfId="1" applyFont="1" applyAlignment="1">
      <alignment wrapText="1"/>
    </xf>
    <xf numFmtId="0" fontId="11" fillId="5" borderId="1" xfId="1" applyFont="1" applyFill="1" applyBorder="1" applyAlignment="1">
      <alignment wrapText="1"/>
    </xf>
    <xf numFmtId="16" fontId="12" fillId="0" borderId="1" xfId="1" applyNumberFormat="1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11" fillId="6" borderId="0" xfId="1" applyFont="1" applyFill="1" applyAlignment="1">
      <alignment horizontal="right" vertical="center" wrapText="1"/>
    </xf>
    <xf numFmtId="0" fontId="11" fillId="6" borderId="0" xfId="1" applyFont="1" applyFill="1" applyAlignment="1">
      <alignment wrapText="1"/>
    </xf>
    <xf numFmtId="0" fontId="4" fillId="6" borderId="0" xfId="1" applyFill="1" applyAlignment="1">
      <alignment wrapText="1"/>
    </xf>
    <xf numFmtId="0" fontId="12" fillId="5" borderId="0" xfId="1" applyFont="1" applyFill="1" applyBorder="1" applyAlignment="1">
      <alignment horizontal="center" vertical="center" wrapText="1"/>
    </xf>
    <xf numFmtId="0" fontId="18" fillId="5" borderId="0" xfId="1" applyFont="1" applyFill="1" applyBorder="1" applyAlignment="1">
      <alignment horizontal="center" vertical="center" wrapText="1"/>
    </xf>
    <xf numFmtId="0" fontId="18" fillId="0" borderId="0" xfId="1" applyFont="1" applyBorder="1" applyAlignment="1">
      <alignment horizontal="center" vertical="center" wrapText="1"/>
    </xf>
    <xf numFmtId="0" fontId="10" fillId="6" borderId="0" xfId="1" applyFont="1" applyFill="1" applyAlignment="1">
      <alignment horizontal="right" vertical="center" wrapText="1"/>
    </xf>
    <xf numFmtId="0" fontId="18" fillId="5" borderId="2" xfId="1" applyFont="1" applyFill="1" applyBorder="1" applyAlignment="1">
      <alignment vertical="center" wrapText="1"/>
    </xf>
    <xf numFmtId="2" fontId="21" fillId="0" borderId="1" xfId="0" applyNumberFormat="1" applyFont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 wrapText="1"/>
    </xf>
    <xf numFmtId="0" fontId="4" fillId="0" borderId="0" xfId="1" applyBorder="1" applyAlignment="1">
      <alignment wrapText="1"/>
    </xf>
    <xf numFmtId="0" fontId="22" fillId="0" borderId="1" xfId="0" applyFont="1" applyBorder="1" applyAlignment="1">
      <alignment horizontal="center" vertical="center" wrapText="1"/>
    </xf>
    <xf numFmtId="17" fontId="23" fillId="5" borderId="1" xfId="0" applyNumberFormat="1" applyFont="1" applyFill="1" applyBorder="1" applyAlignment="1">
      <alignment horizontal="center" vertical="center" wrapText="1"/>
    </xf>
    <xf numFmtId="0" fontId="4" fillId="0" borderId="0" xfId="1" applyAlignment="1">
      <alignment wrapText="1"/>
    </xf>
    <xf numFmtId="0" fontId="18" fillId="0" borderId="1" xfId="1" applyFont="1" applyBorder="1" applyAlignment="1">
      <alignment horizontal="center" vertical="center" wrapText="1"/>
    </xf>
    <xf numFmtId="2" fontId="11" fillId="5" borderId="1" xfId="1" applyNumberFormat="1" applyFont="1" applyFill="1" applyBorder="1"/>
    <xf numFmtId="0" fontId="11" fillId="7" borderId="0" xfId="1" applyFont="1" applyFill="1" applyAlignment="1">
      <alignment horizontal="right" vertical="center" wrapText="1"/>
    </xf>
    <xf numFmtId="0" fontId="11" fillId="7" borderId="0" xfId="1" applyFont="1" applyFill="1" applyAlignment="1">
      <alignment wrapText="1"/>
    </xf>
    <xf numFmtId="0" fontId="4" fillId="7" borderId="0" xfId="1" applyFill="1" applyAlignment="1">
      <alignment wrapText="1"/>
    </xf>
    <xf numFmtId="0" fontId="11" fillId="5" borderId="0" xfId="1" applyFont="1" applyFill="1" applyAlignment="1">
      <alignment horizontal="right" vertical="center" wrapText="1"/>
    </xf>
    <xf numFmtId="0" fontId="11" fillId="5" borderId="0" xfId="1" applyFont="1" applyFill="1" applyAlignment="1">
      <alignment wrapText="1"/>
    </xf>
    <xf numFmtId="0" fontId="4" fillId="5" borderId="0" xfId="1" applyFill="1" applyAlignment="1">
      <alignment wrapText="1"/>
    </xf>
    <xf numFmtId="2" fontId="10" fillId="0" borderId="1" xfId="1" applyNumberFormat="1" applyFont="1" applyBorder="1" applyAlignment="1">
      <alignment horizontal="center" vertical="center"/>
    </xf>
    <xf numFmtId="17" fontId="24" fillId="5" borderId="1" xfId="0" applyNumberFormat="1" applyFont="1" applyFill="1" applyBorder="1" applyAlignment="1">
      <alignment horizontal="center" vertical="center" wrapText="1"/>
    </xf>
    <xf numFmtId="2" fontId="22" fillId="0" borderId="1" xfId="0" applyNumberFormat="1" applyFont="1" applyBorder="1" applyAlignment="1">
      <alignment horizontal="center" vertical="center" wrapText="1"/>
    </xf>
    <xf numFmtId="0" fontId="9" fillId="0" borderId="0" xfId="1" applyFont="1" applyAlignment="1">
      <alignment horizontal="right" vertical="center" wrapText="1"/>
    </xf>
    <xf numFmtId="0" fontId="16" fillId="0" borderId="0" xfId="1" applyFont="1" applyAlignment="1"/>
    <xf numFmtId="0" fontId="25" fillId="0" borderId="1" xfId="3" applyFont="1" applyBorder="1" applyAlignment="1">
      <alignment wrapText="1"/>
    </xf>
    <xf numFmtId="0" fontId="25" fillId="4" borderId="1" xfId="3" applyFont="1" applyFill="1" applyBorder="1" applyAlignment="1">
      <alignment wrapText="1"/>
    </xf>
    <xf numFmtId="0" fontId="11" fillId="0" borderId="6" xfId="1" applyFont="1" applyBorder="1" applyAlignment="1">
      <alignment vertical="center" wrapText="1"/>
    </xf>
    <xf numFmtId="0" fontId="4" fillId="0" borderId="1" xfId="1" applyBorder="1" applyAlignment="1">
      <alignment wrapText="1"/>
    </xf>
    <xf numFmtId="0" fontId="4" fillId="0" borderId="0" xfId="1" applyAlignment="1">
      <alignment wrapText="1"/>
    </xf>
    <xf numFmtId="0" fontId="28" fillId="0" borderId="0" xfId="3" applyFont="1" applyAlignment="1">
      <alignment vertical="center" wrapText="1"/>
    </xf>
    <xf numFmtId="0" fontId="17" fillId="0" borderId="0" xfId="1" applyFont="1" applyAlignment="1">
      <alignment wrapText="1"/>
    </xf>
    <xf numFmtId="0" fontId="30" fillId="0" borderId="1" xfId="3" applyFont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 wrapText="1"/>
    </xf>
    <xf numFmtId="0" fontId="28" fillId="0" borderId="1" xfId="3" applyFont="1" applyBorder="1" applyAlignment="1">
      <alignment horizontal="center" vertical="center" wrapText="1"/>
    </xf>
    <xf numFmtId="0" fontId="28" fillId="0" borderId="1" xfId="3" applyFont="1" applyBorder="1" applyAlignment="1">
      <alignment vertical="center" wrapText="1"/>
    </xf>
    <xf numFmtId="0" fontId="28" fillId="0" borderId="1" xfId="3" applyFont="1" applyBorder="1" applyAlignment="1">
      <alignment horizontal="center" vertical="center"/>
    </xf>
    <xf numFmtId="0" fontId="28" fillId="5" borderId="1" xfId="1" applyFont="1" applyFill="1" applyBorder="1" applyAlignment="1">
      <alignment wrapText="1"/>
    </xf>
    <xf numFmtId="0" fontId="17" fillId="0" borderId="0" xfId="1" applyFont="1" applyAlignment="1"/>
    <xf numFmtId="0" fontId="17" fillId="0" borderId="0" xfId="1" applyFont="1"/>
    <xf numFmtId="0" fontId="31" fillId="0" borderId="0" xfId="1" applyFont="1" applyBorder="1" applyAlignment="1">
      <alignment horizontal="center" vertical="center" wrapText="1"/>
    </xf>
    <xf numFmtId="0" fontId="33" fillId="0" borderId="0" xfId="1" applyFont="1" applyAlignment="1"/>
    <xf numFmtId="0" fontId="34" fillId="0" borderId="0" xfId="1" applyFont="1"/>
    <xf numFmtId="0" fontId="38" fillId="0" borderId="1" xfId="3" applyFont="1" applyBorder="1" applyAlignment="1">
      <alignment horizontal="center" vertical="center" wrapText="1"/>
    </xf>
    <xf numFmtId="0" fontId="38" fillId="0" borderId="1" xfId="0" applyFont="1" applyBorder="1" applyAlignment="1">
      <alignment horizontal="center" vertical="center" wrapText="1"/>
    </xf>
    <xf numFmtId="0" fontId="17" fillId="0" borderId="1" xfId="3" applyFont="1" applyBorder="1" applyAlignment="1">
      <alignment horizontal="center" vertical="center" wrapText="1"/>
    </xf>
    <xf numFmtId="0" fontId="17" fillId="0" borderId="0" xfId="3" applyFont="1" applyAlignment="1">
      <alignment vertical="center" wrapText="1"/>
    </xf>
    <xf numFmtId="2" fontId="17" fillId="0" borderId="1" xfId="1" applyNumberFormat="1" applyFont="1" applyBorder="1"/>
    <xf numFmtId="2" fontId="39" fillId="0" borderId="1" xfId="0" applyNumberFormat="1" applyFont="1" applyBorder="1"/>
    <xf numFmtId="2" fontId="17" fillId="0" borderId="1" xfId="1" applyNumberFormat="1" applyFont="1" applyFill="1" applyBorder="1"/>
    <xf numFmtId="2" fontId="17" fillId="0" borderId="1" xfId="3" applyNumberFormat="1" applyFont="1" applyFill="1" applyBorder="1"/>
    <xf numFmtId="2" fontId="17" fillId="0" borderId="1" xfId="3" applyNumberFormat="1" applyFont="1" applyBorder="1"/>
    <xf numFmtId="0" fontId="17" fillId="0" borderId="1" xfId="1" applyFont="1" applyBorder="1" applyAlignment="1">
      <alignment wrapText="1"/>
    </xf>
    <xf numFmtId="2" fontId="39" fillId="0" borderId="1" xfId="0" applyNumberFormat="1" applyFont="1" applyBorder="1" applyAlignment="1">
      <alignment horizontal="right"/>
    </xf>
    <xf numFmtId="2" fontId="38" fillId="4" borderId="1" xfId="3" applyNumberFormat="1" applyFont="1" applyFill="1" applyBorder="1"/>
    <xf numFmtId="2" fontId="38" fillId="0" borderId="1" xfId="3" applyNumberFormat="1" applyFont="1" applyBorder="1"/>
    <xf numFmtId="2" fontId="17" fillId="0" borderId="1" xfId="1" applyNumberFormat="1" applyFont="1" applyBorder="1" applyAlignment="1">
      <alignment horizontal="right"/>
    </xf>
    <xf numFmtId="0" fontId="17" fillId="5" borderId="1" xfId="1" applyFont="1" applyFill="1" applyBorder="1" applyAlignment="1">
      <alignment wrapText="1"/>
    </xf>
    <xf numFmtId="2" fontId="31" fillId="0" borderId="1" xfId="1" applyNumberFormat="1" applyFont="1" applyBorder="1"/>
    <xf numFmtId="0" fontId="31" fillId="0" borderId="1" xfId="1" applyFont="1" applyBorder="1" applyAlignment="1">
      <alignment wrapText="1"/>
    </xf>
    <xf numFmtId="4" fontId="38" fillId="8" borderId="1" xfId="1" applyNumberFormat="1" applyFont="1" applyFill="1" applyBorder="1" applyAlignment="1">
      <alignment vertical="center" wrapText="1"/>
    </xf>
    <xf numFmtId="16" fontId="38" fillId="0" borderId="1" xfId="1" applyNumberFormat="1" applyFont="1" applyBorder="1" applyAlignment="1">
      <alignment horizontal="center" vertical="center" wrapText="1"/>
    </xf>
    <xf numFmtId="0" fontId="31" fillId="0" borderId="1" xfId="1" applyFont="1" applyBorder="1" applyAlignment="1">
      <alignment horizontal="center" vertical="center" wrapText="1"/>
    </xf>
    <xf numFmtId="165" fontId="17" fillId="0" borderId="0" xfId="2" applyNumberFormat="1" applyFont="1" applyAlignment="1">
      <alignment wrapText="1"/>
    </xf>
    <xf numFmtId="4" fontId="31" fillId="5" borderId="1" xfId="0" applyNumberFormat="1" applyFont="1" applyFill="1" applyBorder="1" applyAlignment="1">
      <alignment horizontal="center" vertical="center" wrapText="1"/>
    </xf>
    <xf numFmtId="164" fontId="36" fillId="4" borderId="0" xfId="1" applyNumberFormat="1" applyFont="1" applyFill="1" applyAlignment="1"/>
    <xf numFmtId="16" fontId="30" fillId="5" borderId="1" xfId="1" applyNumberFormat="1" applyFont="1" applyFill="1" applyBorder="1" applyAlignment="1">
      <alignment horizontal="center" vertical="center" wrapText="1"/>
    </xf>
    <xf numFmtId="4" fontId="30" fillId="5" borderId="1" xfId="1" applyNumberFormat="1" applyFont="1" applyFill="1" applyBorder="1" applyAlignment="1">
      <alignment horizontal="center" vertical="center" wrapText="1"/>
    </xf>
    <xf numFmtId="4" fontId="29" fillId="5" borderId="1" xfId="0" applyNumberFormat="1" applyFont="1" applyFill="1" applyBorder="1" applyAlignment="1">
      <alignment horizontal="center" vertical="center" wrapText="1"/>
    </xf>
    <xf numFmtId="4" fontId="28" fillId="5" borderId="1" xfId="1" applyNumberFormat="1" applyFont="1" applyFill="1" applyBorder="1"/>
    <xf numFmtId="0" fontId="28" fillId="5" borderId="0" xfId="1" applyFont="1" applyFill="1"/>
    <xf numFmtId="0" fontId="28" fillId="5" borderId="1" xfId="1" applyFont="1" applyFill="1" applyBorder="1" applyAlignment="1">
      <alignment horizontal="right" vertical="center" wrapText="1"/>
    </xf>
    <xf numFmtId="4" fontId="28" fillId="5" borderId="1" xfId="1" applyNumberFormat="1" applyFont="1" applyFill="1" applyBorder="1" applyAlignment="1">
      <alignment horizontal="right" vertical="center" wrapText="1"/>
    </xf>
    <xf numFmtId="4" fontId="30" fillId="5" borderId="1" xfId="1" applyNumberFormat="1" applyFont="1" applyFill="1" applyBorder="1" applyAlignment="1">
      <alignment horizontal="right" vertical="center" wrapText="1"/>
    </xf>
    <xf numFmtId="4" fontId="28" fillId="5" borderId="1" xfId="1" applyNumberFormat="1" applyFont="1" applyFill="1" applyBorder="1" applyAlignment="1">
      <alignment wrapText="1"/>
    </xf>
    <xf numFmtId="0" fontId="28" fillId="5" borderId="0" xfId="1" applyFont="1" applyFill="1" applyAlignment="1">
      <alignment wrapText="1"/>
    </xf>
    <xf numFmtId="4" fontId="31" fillId="0" borderId="1" xfId="0" applyNumberFormat="1" applyFont="1" applyBorder="1" applyAlignment="1">
      <alignment horizontal="center" vertical="center" wrapText="1"/>
    </xf>
    <xf numFmtId="4" fontId="34" fillId="4" borderId="1" xfId="1" applyNumberFormat="1" applyFont="1" applyFill="1" applyBorder="1" applyAlignment="1">
      <alignment vertical="center"/>
    </xf>
    <xf numFmtId="2" fontId="28" fillId="5" borderId="1" xfId="0" applyNumberFormat="1" applyFont="1" applyFill="1" applyBorder="1" applyAlignment="1">
      <alignment horizontal="center" vertical="center"/>
    </xf>
    <xf numFmtId="0" fontId="30" fillId="5" borderId="7" xfId="0" applyFont="1" applyFill="1" applyBorder="1" applyAlignment="1">
      <alignment horizontal="left" vertical="center" wrapText="1"/>
    </xf>
    <xf numFmtId="4" fontId="30" fillId="5" borderId="1" xfId="0" applyNumberFormat="1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wrapText="1"/>
    </xf>
    <xf numFmtId="0" fontId="17" fillId="0" borderId="0" xfId="3" applyFont="1" applyAlignment="1">
      <alignment wrapText="1"/>
    </xf>
    <xf numFmtId="0" fontId="2" fillId="0" borderId="0" xfId="3" applyAlignment="1">
      <alignment wrapText="1"/>
    </xf>
    <xf numFmtId="0" fontId="2" fillId="0" borderId="0" xfId="3" applyAlignment="1">
      <alignment horizontal="right" vertical="center" wrapText="1"/>
    </xf>
    <xf numFmtId="0" fontId="10" fillId="0" borderId="0" xfId="1" applyFont="1" applyAlignment="1">
      <alignment horizontal="center" wrapText="1"/>
    </xf>
    <xf numFmtId="0" fontId="10" fillId="0" borderId="5" xfId="1" applyFont="1" applyBorder="1" applyAlignment="1">
      <alignment horizontal="center" vertical="top" wrapText="1"/>
    </xf>
    <xf numFmtId="0" fontId="11" fillId="0" borderId="2" xfId="1" applyFont="1" applyBorder="1" applyAlignment="1">
      <alignment horizontal="center" wrapText="1"/>
    </xf>
    <xf numFmtId="0" fontId="11" fillId="0" borderId="3" xfId="1" applyFont="1" applyBorder="1" applyAlignment="1">
      <alignment horizontal="center" wrapText="1"/>
    </xf>
    <xf numFmtId="0" fontId="11" fillId="0" borderId="4" xfId="1" applyFont="1" applyBorder="1" applyAlignment="1">
      <alignment horizontal="center" wrapText="1"/>
    </xf>
    <xf numFmtId="0" fontId="11" fillId="0" borderId="1" xfId="1" applyFont="1" applyBorder="1" applyAlignment="1">
      <alignment horizontal="right" wrapText="1"/>
    </xf>
    <xf numFmtId="0" fontId="11" fillId="0" borderId="2" xfId="1" applyFont="1" applyBorder="1" applyAlignment="1">
      <alignment horizontal="center" vertical="center" wrapText="1"/>
    </xf>
    <xf numFmtId="0" fontId="11" fillId="0" borderId="3" xfId="1" applyFont="1" applyBorder="1" applyAlignment="1">
      <alignment horizontal="center" vertical="center" wrapText="1"/>
    </xf>
    <xf numFmtId="0" fontId="11" fillId="0" borderId="4" xfId="1" applyFont="1" applyBorder="1" applyAlignment="1">
      <alignment horizontal="center" vertical="center" wrapText="1"/>
    </xf>
    <xf numFmtId="0" fontId="11" fillId="0" borderId="2" xfId="1" applyFont="1" applyBorder="1" applyAlignment="1">
      <alignment horizontal="left" vertical="center" wrapText="1"/>
    </xf>
    <xf numFmtId="0" fontId="11" fillId="0" borderId="4" xfId="1" applyFont="1" applyBorder="1" applyAlignment="1">
      <alignment horizontal="left" vertical="center" wrapText="1"/>
    </xf>
    <xf numFmtId="0" fontId="11" fillId="0" borderId="0" xfId="1" applyFont="1" applyAlignment="1">
      <alignment horizontal="center" vertical="center" wrapText="1"/>
    </xf>
    <xf numFmtId="0" fontId="11" fillId="0" borderId="1" xfId="1" applyFont="1" applyBorder="1" applyAlignment="1">
      <alignment horizontal="center" vertical="center" wrapText="1"/>
    </xf>
    <xf numFmtId="0" fontId="11" fillId="0" borderId="2" xfId="1" applyFont="1" applyBorder="1" applyAlignment="1">
      <alignment horizontal="left" vertical="top" wrapText="1"/>
    </xf>
    <xf numFmtId="0" fontId="11" fillId="0" borderId="4" xfId="1" applyFont="1" applyBorder="1" applyAlignment="1">
      <alignment horizontal="left" vertical="top" wrapText="1"/>
    </xf>
    <xf numFmtId="0" fontId="14" fillId="0" borderId="0" xfId="1" applyFont="1" applyBorder="1" applyAlignment="1">
      <alignment horizontal="center" vertical="center" wrapText="1"/>
    </xf>
    <xf numFmtId="0" fontId="17" fillId="0" borderId="0" xfId="1" applyFont="1" applyAlignment="1">
      <alignment wrapText="1"/>
    </xf>
    <xf numFmtId="0" fontId="10" fillId="0" borderId="0" xfId="1" applyFont="1" applyBorder="1" applyAlignment="1">
      <alignment horizontal="center" vertical="top" wrapText="1"/>
    </xf>
    <xf numFmtId="0" fontId="12" fillId="5" borderId="2" xfId="1" applyFont="1" applyFill="1" applyBorder="1" applyAlignment="1">
      <alignment horizontal="center" vertical="center" wrapText="1"/>
    </xf>
    <xf numFmtId="0" fontId="12" fillId="5" borderId="4" xfId="1" applyFont="1" applyFill="1" applyBorder="1" applyAlignment="1">
      <alignment horizontal="center" vertical="center" wrapText="1"/>
    </xf>
    <xf numFmtId="0" fontId="13" fillId="0" borderId="0" xfId="1" applyFont="1" applyAlignment="1">
      <alignment horizontal="center" vertical="center" wrapText="1"/>
    </xf>
    <xf numFmtId="0" fontId="4" fillId="0" borderId="0" xfId="1" applyAlignment="1">
      <alignment wrapText="1"/>
    </xf>
    <xf numFmtId="0" fontId="14" fillId="0" borderId="0" xfId="1" applyFont="1" applyAlignment="1">
      <alignment horizontal="center" vertical="center" wrapText="1"/>
    </xf>
    <xf numFmtId="0" fontId="4" fillId="0" borderId="0" xfId="1" applyAlignment="1">
      <alignment horizontal="center" wrapText="1"/>
    </xf>
    <xf numFmtId="0" fontId="15" fillId="0" borderId="0" xfId="1" applyFont="1" applyAlignment="1">
      <alignment wrapText="1"/>
    </xf>
    <xf numFmtId="0" fontId="14" fillId="0" borderId="5" xfId="1" applyFont="1" applyBorder="1" applyAlignment="1">
      <alignment horizontal="left" vertical="center" wrapText="1"/>
    </xf>
    <xf numFmtId="0" fontId="11" fillId="0" borderId="5" xfId="1" applyFont="1" applyBorder="1" applyAlignment="1">
      <alignment wrapText="1"/>
    </xf>
    <xf numFmtId="0" fontId="13" fillId="0" borderId="0" xfId="1" applyFont="1" applyAlignment="1"/>
    <xf numFmtId="0" fontId="11" fillId="0" borderId="0" xfId="1" applyFont="1" applyAlignment="1"/>
    <xf numFmtId="0" fontId="14" fillId="0" borderId="0" xfId="1" applyFont="1" applyBorder="1" applyAlignment="1">
      <alignment horizontal="left" vertical="center" wrapText="1"/>
    </xf>
    <xf numFmtId="0" fontId="11" fillId="0" borderId="0" xfId="1" applyFont="1" applyAlignment="1">
      <alignment wrapText="1"/>
    </xf>
    <xf numFmtId="0" fontId="10" fillId="0" borderId="2" xfId="1" applyFont="1" applyBorder="1" applyAlignment="1">
      <alignment horizontal="center"/>
    </xf>
    <xf numFmtId="0" fontId="11" fillId="0" borderId="4" xfId="1" applyFont="1" applyBorder="1" applyAlignment="1"/>
    <xf numFmtId="0" fontId="18" fillId="0" borderId="2" xfId="1" applyFont="1" applyBorder="1" applyAlignment="1">
      <alignment horizontal="center" wrapText="1"/>
    </xf>
    <xf numFmtId="0" fontId="18" fillId="0" borderId="4" xfId="1" applyFont="1" applyBorder="1" applyAlignment="1">
      <alignment horizontal="center" wrapText="1"/>
    </xf>
    <xf numFmtId="0" fontId="18" fillId="0" borderId="1" xfId="1" applyFont="1" applyBorder="1" applyAlignment="1">
      <alignment horizontal="center" vertical="center" wrapText="1"/>
    </xf>
    <xf numFmtId="0" fontId="18" fillId="5" borderId="2" xfId="1" applyFont="1" applyFill="1" applyBorder="1" applyAlignment="1">
      <alignment horizontal="center" vertical="center" wrapText="1"/>
    </xf>
    <xf numFmtId="0" fontId="18" fillId="5" borderId="4" xfId="1" applyFont="1" applyFill="1" applyBorder="1" applyAlignment="1">
      <alignment horizontal="center" vertical="center" wrapText="1"/>
    </xf>
    <xf numFmtId="0" fontId="11" fillId="4" borderId="1" xfId="1" applyFont="1" applyFill="1" applyBorder="1" applyAlignment="1">
      <alignment horizontal="right" wrapText="1"/>
    </xf>
    <xf numFmtId="0" fontId="18" fillId="0" borderId="2" xfId="1" applyFont="1" applyBorder="1" applyAlignment="1">
      <alignment horizontal="center" vertical="center" wrapText="1"/>
    </xf>
    <xf numFmtId="0" fontId="18" fillId="0" borderId="4" xfId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/>
    </xf>
    <xf numFmtId="0" fontId="8" fillId="0" borderId="2" xfId="1" applyFont="1" applyBorder="1" applyAlignment="1">
      <alignment horizontal="center"/>
    </xf>
    <xf numFmtId="0" fontId="8" fillId="0" borderId="3" xfId="1" applyFont="1" applyBorder="1" applyAlignment="1">
      <alignment horizontal="center"/>
    </xf>
    <xf numFmtId="0" fontId="8" fillId="0" borderId="4" xfId="1" applyFont="1" applyBorder="1" applyAlignment="1">
      <alignment horizontal="center"/>
    </xf>
    <xf numFmtId="17" fontId="8" fillId="0" borderId="1" xfId="1" applyNumberFormat="1" applyFont="1" applyBorder="1" applyAlignment="1">
      <alignment horizontal="center"/>
    </xf>
    <xf numFmtId="0" fontId="18" fillId="0" borderId="1" xfId="1" applyFont="1" applyBorder="1" applyAlignment="1">
      <alignment horizontal="right" wrapText="1"/>
    </xf>
    <xf numFmtId="0" fontId="18" fillId="4" borderId="1" xfId="1" applyFont="1" applyFill="1" applyBorder="1" applyAlignment="1">
      <alignment horizontal="right" wrapText="1"/>
    </xf>
    <xf numFmtId="0" fontId="1" fillId="0" borderId="0" xfId="3" applyFont="1" applyAlignment="1">
      <alignment horizontal="left" vertical="center" wrapText="1"/>
    </xf>
    <xf numFmtId="0" fontId="2" fillId="0" borderId="0" xfId="3" applyAlignment="1">
      <alignment horizontal="left" vertical="center" wrapText="1"/>
    </xf>
    <xf numFmtId="0" fontId="31" fillId="0" borderId="0" xfId="1" applyFont="1" applyAlignment="1"/>
    <xf numFmtId="0" fontId="17" fillId="0" borderId="0" xfId="1" applyFont="1" applyAlignment="1"/>
    <xf numFmtId="0" fontId="32" fillId="0" borderId="0" xfId="1" applyFont="1" applyBorder="1" applyAlignment="1">
      <alignment horizontal="left" vertical="center" wrapText="1"/>
    </xf>
    <xf numFmtId="0" fontId="31" fillId="0" borderId="0" xfId="1" applyFont="1" applyAlignment="1">
      <alignment horizontal="center" vertical="center" wrapText="1"/>
    </xf>
    <xf numFmtId="0" fontId="32" fillId="0" borderId="0" xfId="1" applyFont="1" applyAlignment="1">
      <alignment horizontal="center" vertical="center" wrapText="1"/>
    </xf>
    <xf numFmtId="0" fontId="32" fillId="0" borderId="0" xfId="1" applyFont="1" applyBorder="1" applyAlignment="1">
      <alignment horizontal="center" vertical="center" wrapText="1"/>
    </xf>
    <xf numFmtId="0" fontId="33" fillId="0" borderId="0" xfId="1" applyFont="1" applyAlignment="1">
      <alignment wrapText="1"/>
    </xf>
    <xf numFmtId="0" fontId="32" fillId="0" borderId="5" xfId="1" applyFont="1" applyBorder="1" applyAlignment="1">
      <alignment horizontal="left" vertical="center" wrapText="1"/>
    </xf>
    <xf numFmtId="0" fontId="17" fillId="0" borderId="5" xfId="1" applyFont="1" applyBorder="1" applyAlignment="1">
      <alignment wrapText="1"/>
    </xf>
    <xf numFmtId="0" fontId="40" fillId="0" borderId="0" xfId="1" applyFont="1" applyAlignment="1">
      <alignment horizontal="center" wrapText="1"/>
    </xf>
    <xf numFmtId="0" fontId="34" fillId="0" borderId="0" xfId="3" applyFont="1" applyAlignment="1">
      <alignment horizontal="left" vertical="center" wrapText="1"/>
    </xf>
  </cellXfs>
  <cellStyles count="4">
    <cellStyle name="Обычный" xfId="0" builtinId="0"/>
    <cellStyle name="Обычный 2" xfId="1"/>
    <cellStyle name="Обычный 3" xfId="3"/>
    <cellStyle name="Процентный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6"/>
  <sheetViews>
    <sheetView workbookViewId="0">
      <selection activeCell="C30" sqref="C30"/>
    </sheetView>
  </sheetViews>
  <sheetFormatPr defaultColWidth="9.109375" defaultRowHeight="14.4" x14ac:dyDescent="0.3"/>
  <cols>
    <col min="1" max="1" width="11" style="56" customWidth="1"/>
    <col min="2" max="2" width="13" style="56" customWidth="1"/>
    <col min="3" max="3" width="16" style="19" customWidth="1"/>
    <col min="4" max="4" width="16.5546875" style="19" customWidth="1"/>
    <col min="5" max="5" width="15" style="19" customWidth="1"/>
    <col min="6" max="6" width="21.109375" style="19" customWidth="1"/>
    <col min="7" max="16384" width="9.109375" style="19"/>
  </cols>
  <sheetData>
    <row r="1" spans="1:6" x14ac:dyDescent="0.3">
      <c r="A1" s="168" t="s">
        <v>31</v>
      </c>
      <c r="B1" s="168"/>
      <c r="C1" s="168"/>
      <c r="D1" s="168"/>
      <c r="E1" s="168"/>
      <c r="F1" s="168"/>
    </row>
    <row r="2" spans="1:6" x14ac:dyDescent="0.3">
      <c r="A2" s="20"/>
      <c r="B2" s="20"/>
      <c r="C2" s="20"/>
      <c r="D2" s="20"/>
      <c r="E2" s="20"/>
      <c r="F2" s="20"/>
    </row>
    <row r="3" spans="1:6" ht="24" customHeight="1" x14ac:dyDescent="0.3">
      <c r="A3" s="169" t="s">
        <v>32</v>
      </c>
      <c r="B3" s="169"/>
      <c r="C3" s="169"/>
      <c r="D3" s="169"/>
      <c r="E3" s="169"/>
      <c r="F3" s="169"/>
    </row>
    <row r="4" spans="1:6" x14ac:dyDescent="0.3">
      <c r="A4" s="21">
        <v>1</v>
      </c>
      <c r="B4" s="170" t="s">
        <v>33</v>
      </c>
      <c r="C4" s="171"/>
      <c r="D4" s="172"/>
      <c r="E4" s="173" t="s">
        <v>34</v>
      </c>
      <c r="F4" s="173"/>
    </row>
    <row r="5" spans="1:6" x14ac:dyDescent="0.3">
      <c r="A5" s="21">
        <v>2</v>
      </c>
      <c r="B5" s="170" t="s">
        <v>35</v>
      </c>
      <c r="C5" s="171"/>
      <c r="D5" s="172"/>
      <c r="E5" s="173">
        <v>9</v>
      </c>
      <c r="F5" s="173"/>
    </row>
    <row r="6" spans="1:6" x14ac:dyDescent="0.3">
      <c r="A6" s="21">
        <v>3</v>
      </c>
      <c r="B6" s="170" t="s">
        <v>36</v>
      </c>
      <c r="C6" s="171"/>
      <c r="D6" s="172"/>
      <c r="E6" s="173">
        <v>169</v>
      </c>
      <c r="F6" s="173"/>
    </row>
    <row r="7" spans="1:6" ht="15" customHeight="1" x14ac:dyDescent="0.3">
      <c r="A7" s="21">
        <v>4</v>
      </c>
      <c r="B7" s="170" t="s">
        <v>37</v>
      </c>
      <c r="C7" s="171"/>
      <c r="D7" s="172"/>
      <c r="E7" s="173">
        <v>9441.7900000000009</v>
      </c>
      <c r="F7" s="173"/>
    </row>
    <row r="8" spans="1:6" ht="15" customHeight="1" x14ac:dyDescent="0.3">
      <c r="A8" s="21">
        <v>5</v>
      </c>
      <c r="B8" s="170" t="s">
        <v>38</v>
      </c>
      <c r="C8" s="171"/>
      <c r="D8" s="172"/>
      <c r="E8" s="173">
        <f>37.8+56.4</f>
        <v>94.199999999999989</v>
      </c>
      <c r="F8" s="173"/>
    </row>
    <row r="9" spans="1:6" ht="15" customHeight="1" x14ac:dyDescent="0.3">
      <c r="A9" s="21">
        <v>6</v>
      </c>
      <c r="B9" s="170" t="s">
        <v>39</v>
      </c>
      <c r="C9" s="171"/>
      <c r="D9" s="172"/>
      <c r="E9" s="173">
        <v>1202</v>
      </c>
      <c r="F9" s="173"/>
    </row>
    <row r="10" spans="1:6" ht="57" customHeight="1" x14ac:dyDescent="0.3">
      <c r="A10" s="21">
        <v>7</v>
      </c>
      <c r="B10" s="174" t="s">
        <v>40</v>
      </c>
      <c r="C10" s="175"/>
      <c r="D10" s="176"/>
      <c r="E10" s="177" t="s">
        <v>41</v>
      </c>
      <c r="F10" s="178"/>
    </row>
    <row r="11" spans="1:6" x14ac:dyDescent="0.3">
      <c r="A11" s="21">
        <v>8</v>
      </c>
      <c r="B11" s="170" t="s">
        <v>42</v>
      </c>
      <c r="C11" s="171"/>
      <c r="D11" s="172"/>
      <c r="E11" s="170" t="s">
        <v>43</v>
      </c>
      <c r="F11" s="172"/>
    </row>
    <row r="12" spans="1:6" x14ac:dyDescent="0.3">
      <c r="A12" s="21">
        <v>9</v>
      </c>
      <c r="B12" s="170" t="s">
        <v>44</v>
      </c>
      <c r="C12" s="171"/>
      <c r="D12" s="172"/>
      <c r="E12" s="180" t="s">
        <v>43</v>
      </c>
      <c r="F12" s="180"/>
    </row>
    <row r="13" spans="1:6" ht="45" customHeight="1" x14ac:dyDescent="0.3">
      <c r="A13" s="21">
        <v>10</v>
      </c>
      <c r="B13" s="170" t="s">
        <v>45</v>
      </c>
      <c r="C13" s="171"/>
      <c r="D13" s="172"/>
      <c r="E13" s="180" t="s">
        <v>43</v>
      </c>
      <c r="F13" s="180"/>
    </row>
    <row r="14" spans="1:6" ht="30.75" customHeight="1" x14ac:dyDescent="0.3">
      <c r="A14" s="21">
        <v>11</v>
      </c>
      <c r="B14" s="170" t="s">
        <v>46</v>
      </c>
      <c r="C14" s="171"/>
      <c r="D14" s="172"/>
      <c r="E14" s="174" t="s">
        <v>47</v>
      </c>
      <c r="F14" s="176"/>
    </row>
    <row r="15" spans="1:6" ht="102.75" customHeight="1" x14ac:dyDescent="0.3">
      <c r="A15" s="21">
        <v>12</v>
      </c>
      <c r="B15" s="174" t="s">
        <v>48</v>
      </c>
      <c r="C15" s="175"/>
      <c r="D15" s="176"/>
      <c r="E15" s="181" t="s">
        <v>49</v>
      </c>
      <c r="F15" s="182"/>
    </row>
    <row r="16" spans="1:6" ht="18" customHeight="1" x14ac:dyDescent="0.3">
      <c r="A16" s="22"/>
      <c r="B16" s="22"/>
      <c r="C16" s="22"/>
      <c r="D16" s="23"/>
      <c r="E16" s="23"/>
      <c r="F16" s="24"/>
    </row>
    <row r="17" spans="1:6" ht="14.25" customHeight="1" x14ac:dyDescent="0.3">
      <c r="A17" s="169" t="s">
        <v>50</v>
      </c>
      <c r="B17" s="169"/>
      <c r="C17" s="169"/>
      <c r="D17" s="169"/>
      <c r="E17" s="169"/>
      <c r="F17" s="169"/>
    </row>
    <row r="18" spans="1:6" ht="42.75" customHeight="1" x14ac:dyDescent="0.3">
      <c r="A18" s="21">
        <v>1</v>
      </c>
      <c r="B18" s="25"/>
      <c r="C18" s="170" t="s">
        <v>51</v>
      </c>
      <c r="D18" s="172"/>
      <c r="E18" s="180" t="s">
        <v>52</v>
      </c>
      <c r="F18" s="180"/>
    </row>
    <row r="19" spans="1:6" ht="13.5" customHeight="1" x14ac:dyDescent="0.3">
      <c r="A19" s="179"/>
      <c r="B19" s="179"/>
      <c r="C19" s="179"/>
      <c r="D19" s="179"/>
      <c r="E19" s="179"/>
      <c r="F19" s="179"/>
    </row>
    <row r="20" spans="1:6" ht="12.75" customHeight="1" x14ac:dyDescent="0.3">
      <c r="A20" s="185" t="s">
        <v>53</v>
      </c>
      <c r="B20" s="185"/>
      <c r="C20" s="185"/>
      <c r="D20" s="185"/>
      <c r="E20" s="185"/>
      <c r="F20" s="185"/>
    </row>
    <row r="21" spans="1:6" ht="36" x14ac:dyDescent="0.3">
      <c r="A21" s="26">
        <v>1</v>
      </c>
      <c r="B21" s="186" t="s">
        <v>54</v>
      </c>
      <c r="C21" s="187"/>
      <c r="D21" s="27" t="s">
        <v>55</v>
      </c>
      <c r="E21" s="28" t="s">
        <v>56</v>
      </c>
      <c r="F21" s="29"/>
    </row>
    <row r="22" spans="1:6" x14ac:dyDescent="0.3">
      <c r="A22" s="22"/>
      <c r="B22" s="22"/>
      <c r="C22" s="24"/>
      <c r="D22" s="24"/>
      <c r="E22" s="24"/>
      <c r="F22" s="24"/>
    </row>
    <row r="23" spans="1:6" ht="15" customHeight="1" x14ac:dyDescent="0.3">
      <c r="A23" s="188" t="s">
        <v>57</v>
      </c>
      <c r="B23" s="189"/>
      <c r="C23" s="189"/>
      <c r="D23" s="189"/>
      <c r="E23" s="189"/>
      <c r="F23" s="189"/>
    </row>
    <row r="24" spans="1:6" s="3" customFormat="1" ht="15" customHeight="1" x14ac:dyDescent="0.3">
      <c r="A24" s="190" t="s">
        <v>58</v>
      </c>
      <c r="B24" s="189"/>
      <c r="C24" s="189"/>
      <c r="D24" s="189"/>
      <c r="E24" s="189"/>
      <c r="F24" s="189"/>
    </row>
    <row r="25" spans="1:6" s="3" customFormat="1" ht="27" customHeight="1" x14ac:dyDescent="0.3">
      <c r="A25" s="183" t="s">
        <v>59</v>
      </c>
      <c r="B25" s="191"/>
      <c r="C25" s="191"/>
      <c r="D25" s="191"/>
      <c r="E25" s="191"/>
      <c r="F25" s="191"/>
    </row>
    <row r="26" spans="1:6" s="3" customFormat="1" x14ac:dyDescent="0.3">
      <c r="A26" s="192" t="s">
        <v>60</v>
      </c>
      <c r="B26" s="189"/>
      <c r="C26" s="189"/>
      <c r="D26" s="189"/>
      <c r="E26" s="189"/>
      <c r="F26" s="30"/>
    </row>
    <row r="27" spans="1:6" s="3" customFormat="1" x14ac:dyDescent="0.3">
      <c r="A27" s="31"/>
      <c r="B27" s="32"/>
      <c r="C27" s="30"/>
      <c r="D27" s="33"/>
      <c r="E27" s="30"/>
      <c r="F27" s="30"/>
    </row>
    <row r="28" spans="1:6" x14ac:dyDescent="0.3">
      <c r="A28" s="31" t="s">
        <v>61</v>
      </c>
      <c r="B28" s="32"/>
      <c r="C28" s="30"/>
      <c r="D28" s="33"/>
      <c r="E28" s="30"/>
      <c r="F28" s="30"/>
    </row>
    <row r="29" spans="1:6" x14ac:dyDescent="0.3">
      <c r="A29" s="31" t="s">
        <v>62</v>
      </c>
      <c r="B29" s="32"/>
      <c r="C29" s="30"/>
      <c r="D29" s="33"/>
      <c r="E29" s="30"/>
      <c r="F29" s="30"/>
    </row>
    <row r="30" spans="1:6" x14ac:dyDescent="0.3">
      <c r="A30" s="31" t="s">
        <v>63</v>
      </c>
      <c r="B30" s="32"/>
      <c r="C30" s="30"/>
      <c r="D30" s="33"/>
      <c r="E30" s="30"/>
      <c r="F30" s="30"/>
    </row>
    <row r="31" spans="1:6" x14ac:dyDescent="0.3">
      <c r="A31" s="31" t="s">
        <v>64</v>
      </c>
      <c r="B31" s="32"/>
      <c r="C31" s="30"/>
      <c r="D31" s="33"/>
      <c r="E31" s="30"/>
      <c r="F31" s="30"/>
    </row>
    <row r="32" spans="1:6" ht="27.75" customHeight="1" x14ac:dyDescent="0.3">
      <c r="A32" s="193" t="s">
        <v>65</v>
      </c>
      <c r="B32" s="194"/>
      <c r="C32" s="194"/>
      <c r="D32" s="194"/>
      <c r="E32" s="194"/>
      <c r="F32" s="194"/>
    </row>
    <row r="33" spans="1:6" ht="72" x14ac:dyDescent="0.3">
      <c r="A33" s="34" t="s">
        <v>66</v>
      </c>
      <c r="B33" s="35" t="s">
        <v>67</v>
      </c>
      <c r="C33" s="35" t="s">
        <v>68</v>
      </c>
      <c r="D33" s="34" t="s">
        <v>69</v>
      </c>
      <c r="E33" s="36" t="s">
        <v>70</v>
      </c>
      <c r="F33" s="28" t="s">
        <v>71</v>
      </c>
    </row>
    <row r="34" spans="1:6" ht="24.6" x14ac:dyDescent="0.3">
      <c r="A34" s="37">
        <v>54006.41</v>
      </c>
      <c r="B34" s="37">
        <f>28458.79*12</f>
        <v>341505.48</v>
      </c>
      <c r="C34" s="37">
        <f>28018.43+26700.27+27044.81+25591.75+29446.44+25543.92+27322.05+30675.26+25974.08+25783.48+42159.66+26756.69</f>
        <v>341016.84</v>
      </c>
      <c r="D34" s="37">
        <f>B34</f>
        <v>341505.48</v>
      </c>
      <c r="E34" s="38">
        <f>A34+B34-C34</f>
        <v>54495.049999999988</v>
      </c>
      <c r="F34" s="36" t="s">
        <v>72</v>
      </c>
    </row>
    <row r="35" spans="1:6" x14ac:dyDescent="0.3">
      <c r="A35" s="37">
        <v>17597.7</v>
      </c>
      <c r="B35" s="37">
        <f>12399.17+12004.19+12004.19+12399.17+12399.17+12399.17+12399.17+12399.17+12399.17+12399.17+12399.17+11411.72</f>
        <v>147012.63</v>
      </c>
      <c r="C35" s="37">
        <f>12195.47+11385.03+11361.76+11071.66+12784.02+11116.92+11941.99+13400.33+11317.59+11250.26+14721.86+10885.95</f>
        <v>143432.84000000003</v>
      </c>
      <c r="D35" s="37">
        <f t="shared" ref="D35:D36" si="0">B35</f>
        <v>147012.63</v>
      </c>
      <c r="E35" s="38">
        <f t="shared" ref="E35:E38" si="1">A35+B35-C35</f>
        <v>21177.489999999991</v>
      </c>
      <c r="F35" s="36" t="s">
        <v>73</v>
      </c>
    </row>
    <row r="36" spans="1:6" ht="66.75" customHeight="1" x14ac:dyDescent="0.3">
      <c r="A36" s="37">
        <v>15497.8</v>
      </c>
      <c r="B36" s="37">
        <f>11178.81*12</f>
        <v>134145.72</v>
      </c>
      <c r="C36" s="37">
        <f>11064.3+10499.2+10634.75+10055.15+11578.75+10033.66+10713.81+12037.26+10199.28+10121.73+16829.46+10489.75</f>
        <v>134257.09999999998</v>
      </c>
      <c r="D36" s="37">
        <f t="shared" si="0"/>
        <v>134145.72</v>
      </c>
      <c r="E36" s="38">
        <f t="shared" si="1"/>
        <v>15386.420000000013</v>
      </c>
      <c r="F36" s="36" t="s">
        <v>74</v>
      </c>
    </row>
    <row r="37" spans="1:6" ht="24.6" x14ac:dyDescent="0.3">
      <c r="A37" s="37">
        <v>17988.62</v>
      </c>
      <c r="B37" s="37">
        <f>6770.29*12</f>
        <v>81243.48</v>
      </c>
      <c r="C37" s="37">
        <f>6717.92+6420.17+6451.37+6141.97+7004.25+6078.1+6559.05+7338.28+6215.13+6154.11+11753.42+6412.08</f>
        <v>83245.850000000006</v>
      </c>
      <c r="D37" s="37"/>
      <c r="E37" s="38">
        <f t="shared" si="1"/>
        <v>15986.249999999985</v>
      </c>
      <c r="F37" s="36" t="s">
        <v>75</v>
      </c>
    </row>
    <row r="38" spans="1:6" ht="24.6" x14ac:dyDescent="0.3">
      <c r="A38" s="37">
        <v>8239.0300000000007</v>
      </c>
      <c r="B38" s="37">
        <v>0</v>
      </c>
      <c r="C38" s="37">
        <f>169.13+59.58+86.79+46.2+29+2.53+44.09+27.52+25.99+11.51+286.38+17.73</f>
        <v>806.44999999999993</v>
      </c>
      <c r="D38" s="37"/>
      <c r="E38" s="38">
        <f t="shared" si="1"/>
        <v>7432.5800000000008</v>
      </c>
      <c r="F38" s="36" t="s">
        <v>76</v>
      </c>
    </row>
    <row r="39" spans="1:6" x14ac:dyDescent="0.3">
      <c r="A39" s="39">
        <f>A34+A35+A36+A37+A38</f>
        <v>113329.56</v>
      </c>
      <c r="B39" s="39">
        <f>B34+B35+B36+B37+B38</f>
        <v>703907.30999999994</v>
      </c>
      <c r="C39" s="39">
        <f>C34+C35+C36+C37+C38</f>
        <v>702759.08</v>
      </c>
      <c r="D39" s="39">
        <f>D34+D35+D36+D37+D38</f>
        <v>622663.82999999996</v>
      </c>
      <c r="E39" s="39">
        <f>E34+E35+E36+E37+E38</f>
        <v>114477.78999999998</v>
      </c>
      <c r="F39" s="40" t="s">
        <v>77</v>
      </c>
    </row>
    <row r="40" spans="1:6" x14ac:dyDescent="0.3">
      <c r="A40" s="41"/>
      <c r="B40" s="41"/>
      <c r="C40" s="42"/>
      <c r="D40" s="41"/>
      <c r="E40" s="42"/>
      <c r="F40" s="41"/>
    </row>
    <row r="41" spans="1:6" x14ac:dyDescent="0.3">
      <c r="A41" s="195" t="s">
        <v>78</v>
      </c>
      <c r="B41" s="196"/>
      <c r="C41" s="196"/>
      <c r="D41" s="196"/>
      <c r="E41" s="196"/>
      <c r="F41" s="31"/>
    </row>
    <row r="42" spans="1:6" ht="72" x14ac:dyDescent="0.3">
      <c r="A42" s="34" t="s">
        <v>66</v>
      </c>
      <c r="B42" s="35" t="s">
        <v>67</v>
      </c>
      <c r="C42" s="35" t="s">
        <v>68</v>
      </c>
      <c r="D42" s="34" t="s">
        <v>69</v>
      </c>
      <c r="E42" s="36" t="s">
        <v>70</v>
      </c>
      <c r="F42" s="35" t="s">
        <v>79</v>
      </c>
    </row>
    <row r="43" spans="1:6" ht="24.6" x14ac:dyDescent="0.3">
      <c r="A43" s="38">
        <v>14319.84</v>
      </c>
      <c r="B43" s="38">
        <f>20101.91+23519.89+21655.69+20695.91+21782.07+21996.03+22222.7+21177.75+23633.3+23028.08+22401.83+21578.26</f>
        <v>263793.42000000004</v>
      </c>
      <c r="C43" s="38">
        <f>22913.62+21713.51+19747.08+20631.55+22528.28+20270.04+21525.52+21529.38+21573.42+21402.25+32279.55+19667.48</f>
        <v>265781.67999999993</v>
      </c>
      <c r="D43" s="38">
        <f>C43</f>
        <v>265781.67999999993</v>
      </c>
      <c r="E43" s="38">
        <f>A43+B43-C43</f>
        <v>12331.580000000133</v>
      </c>
      <c r="F43" s="36" t="s">
        <v>80</v>
      </c>
    </row>
    <row r="44" spans="1:6" x14ac:dyDescent="0.3">
      <c r="A44" s="38">
        <v>86075.69</v>
      </c>
      <c r="B44" s="38">
        <f>35861.13+43846.45+42909.11+38312.12+39573.96+35987.35+35110.84+20452.78+38466.42+39012.34+40606.96+39999.74</f>
        <v>450139.2</v>
      </c>
      <c r="C44" s="38">
        <f>42362.03+41460.02+37994.23+37626.54+41974.03+31436.89+32100.31+25543.12+31084.02+36987.29+57628.75+38408.04</f>
        <v>454605.26999999996</v>
      </c>
      <c r="D44" s="38">
        <f t="shared" ref="D44:D46" si="2">C44</f>
        <v>454605.26999999996</v>
      </c>
      <c r="E44" s="38">
        <f t="shared" ref="E44:E46" si="3">A44+B44-C44</f>
        <v>81609.620000000054</v>
      </c>
      <c r="F44" s="36" t="s">
        <v>81</v>
      </c>
    </row>
    <row r="45" spans="1:6" x14ac:dyDescent="0.3">
      <c r="A45" s="38">
        <v>165330.49</v>
      </c>
      <c r="B45" s="38">
        <f>175079.52+174395.94+175079.52+210845.95+181635.32+181635.32+181635.32</f>
        <v>1280306.8900000001</v>
      </c>
      <c r="C45" s="38">
        <f>173907.41+160887.6+163255.96+134046.46+20391.02+9683.85+6647.96+7675.16+4413.24+156969.45+235908.09+163513.06</f>
        <v>1237299.26</v>
      </c>
      <c r="D45" s="38">
        <f t="shared" si="2"/>
        <v>1237299.26</v>
      </c>
      <c r="E45" s="38">
        <f t="shared" si="3"/>
        <v>208338.12000000011</v>
      </c>
      <c r="F45" s="36" t="s">
        <v>82</v>
      </c>
    </row>
    <row r="46" spans="1:6" ht="43.5" customHeight="1" x14ac:dyDescent="0.3">
      <c r="A46" s="38">
        <v>3514.3</v>
      </c>
      <c r="B46" s="38">
        <f>4791.69+4542.42</f>
        <v>9334.11</v>
      </c>
      <c r="C46" s="38">
        <f>4827+4324.78+652.17+208.92+183.8+50.52+165.08+158.7+132.3+52.35+1491.67+127.88</f>
        <v>12375.169999999998</v>
      </c>
      <c r="D46" s="38">
        <f t="shared" si="2"/>
        <v>12375.169999999998</v>
      </c>
      <c r="E46" s="38">
        <f t="shared" si="3"/>
        <v>473.2400000000016</v>
      </c>
      <c r="F46" s="36" t="s">
        <v>83</v>
      </c>
    </row>
    <row r="47" spans="1:6" x14ac:dyDescent="0.3">
      <c r="A47" s="39">
        <f>A43+A44+A45+A46</f>
        <v>269240.32000000001</v>
      </c>
      <c r="B47" s="39">
        <f t="shared" ref="B47:E47" si="4">B43+B44+B45+B46</f>
        <v>2003573.6200000003</v>
      </c>
      <c r="C47" s="39">
        <f t="shared" si="4"/>
        <v>1970061.38</v>
      </c>
      <c r="D47" s="39">
        <f t="shared" si="4"/>
        <v>1970061.38</v>
      </c>
      <c r="E47" s="39">
        <f t="shared" si="4"/>
        <v>302752.56000000029</v>
      </c>
      <c r="F47" s="40" t="s">
        <v>13</v>
      </c>
    </row>
    <row r="48" spans="1:6" ht="8.25" customHeight="1" x14ac:dyDescent="0.3">
      <c r="A48" s="22"/>
      <c r="B48" s="22"/>
      <c r="C48" s="24"/>
      <c r="D48" s="24"/>
      <c r="E48" s="24"/>
      <c r="F48" s="24"/>
    </row>
    <row r="49" spans="1:6" s="3" customFormat="1" x14ac:dyDescent="0.3">
      <c r="A49" s="197" t="s">
        <v>84</v>
      </c>
      <c r="B49" s="198"/>
      <c r="C49" s="198"/>
      <c r="D49" s="198"/>
      <c r="E49" s="198"/>
      <c r="F49" s="198"/>
    </row>
    <row r="50" spans="1:6" s="3" customFormat="1" x14ac:dyDescent="0.3">
      <c r="A50" s="198"/>
      <c r="B50" s="198"/>
      <c r="C50" s="198"/>
      <c r="D50" s="198"/>
      <c r="E50" s="198"/>
      <c r="F50" s="198"/>
    </row>
    <row r="51" spans="1:6" s="3" customFormat="1" ht="48" x14ac:dyDescent="0.3">
      <c r="A51" s="34" t="s">
        <v>85</v>
      </c>
      <c r="B51" s="34" t="s">
        <v>86</v>
      </c>
      <c r="C51" s="34" t="s">
        <v>87</v>
      </c>
      <c r="D51" s="35" t="s">
        <v>88</v>
      </c>
      <c r="E51" s="31"/>
      <c r="F51" s="31"/>
    </row>
    <row r="52" spans="1:6" s="47" customFormat="1" x14ac:dyDescent="0.3">
      <c r="A52" s="43">
        <v>1</v>
      </c>
      <c r="B52" s="44"/>
      <c r="C52" s="44" t="s">
        <v>89</v>
      </c>
      <c r="D52" s="45"/>
      <c r="E52" s="46"/>
      <c r="F52" s="46"/>
    </row>
    <row r="53" spans="1:6" s="3" customFormat="1" x14ac:dyDescent="0.3">
      <c r="A53" s="48" t="s">
        <v>90</v>
      </c>
      <c r="B53" s="49"/>
      <c r="C53" s="34"/>
      <c r="D53" s="50"/>
      <c r="E53" s="31"/>
      <c r="F53" s="31"/>
    </row>
    <row r="54" spans="1:6" s="47" customFormat="1" x14ac:dyDescent="0.3">
      <c r="A54" s="51">
        <v>2</v>
      </c>
      <c r="B54" s="52"/>
      <c r="C54" s="53" t="s">
        <v>91</v>
      </c>
      <c r="D54" s="45"/>
      <c r="E54" s="46"/>
      <c r="F54" s="46"/>
    </row>
    <row r="55" spans="1:6" s="3" customFormat="1" x14ac:dyDescent="0.3">
      <c r="A55" s="54" t="s">
        <v>92</v>
      </c>
      <c r="B55" s="55"/>
      <c r="C55" s="36"/>
      <c r="D55" s="50"/>
      <c r="E55" s="31"/>
      <c r="F55" s="31"/>
    </row>
    <row r="56" spans="1:6" x14ac:dyDescent="0.3">
      <c r="A56" s="22"/>
      <c r="B56" s="22"/>
      <c r="C56" s="24"/>
      <c r="D56" s="24"/>
      <c r="E56" s="24"/>
      <c r="F56" s="24"/>
    </row>
    <row r="57" spans="1:6" ht="116.25" customHeight="1" x14ac:dyDescent="0.3">
      <c r="A57" s="22"/>
      <c r="B57" s="22"/>
      <c r="C57" s="24"/>
      <c r="D57" s="24"/>
      <c r="E57" s="24"/>
      <c r="F57" s="24"/>
    </row>
    <row r="58" spans="1:6" ht="15" customHeight="1" x14ac:dyDescent="0.3">
      <c r="A58" s="188" t="s">
        <v>57</v>
      </c>
      <c r="B58" s="184"/>
      <c r="C58" s="184"/>
      <c r="D58" s="184"/>
      <c r="E58" s="184"/>
      <c r="F58" s="184"/>
    </row>
    <row r="59" spans="1:6" ht="15" customHeight="1" x14ac:dyDescent="0.3">
      <c r="A59" s="190" t="s">
        <v>58</v>
      </c>
      <c r="B59" s="184"/>
      <c r="C59" s="184"/>
      <c r="D59" s="184"/>
      <c r="E59" s="184"/>
      <c r="F59" s="184"/>
    </row>
    <row r="60" spans="1:6" ht="24.75" customHeight="1" x14ac:dyDescent="0.3">
      <c r="A60" s="183" t="s">
        <v>93</v>
      </c>
      <c r="B60" s="184"/>
      <c r="C60" s="184"/>
      <c r="D60" s="184"/>
      <c r="E60" s="184"/>
      <c r="F60" s="184"/>
    </row>
    <row r="61" spans="1:6" x14ac:dyDescent="0.3">
      <c r="A61" s="192" t="s">
        <v>60</v>
      </c>
      <c r="B61" s="184"/>
      <c r="C61" s="184"/>
      <c r="D61" s="184"/>
      <c r="E61" s="184"/>
      <c r="F61" s="30"/>
    </row>
    <row r="62" spans="1:6" x14ac:dyDescent="0.3">
      <c r="A62" s="31"/>
      <c r="B62" s="32"/>
      <c r="C62" s="30"/>
      <c r="D62" s="33"/>
      <c r="E62" s="30"/>
      <c r="F62" s="30"/>
    </row>
    <row r="63" spans="1:6" x14ac:dyDescent="0.3">
      <c r="A63" s="31" t="s">
        <v>94</v>
      </c>
      <c r="B63" s="32"/>
      <c r="C63" s="30"/>
      <c r="D63" s="33"/>
      <c r="E63" s="30"/>
      <c r="F63" s="30"/>
    </row>
    <row r="64" spans="1:6" x14ac:dyDescent="0.3">
      <c r="A64" s="31" t="s">
        <v>95</v>
      </c>
      <c r="B64" s="32"/>
      <c r="C64" s="30"/>
      <c r="D64" s="33"/>
      <c r="E64" s="30"/>
      <c r="F64" s="30"/>
    </row>
    <row r="65" spans="1:6" x14ac:dyDescent="0.3">
      <c r="A65" s="31" t="s">
        <v>96</v>
      </c>
      <c r="B65" s="32"/>
      <c r="C65" s="30"/>
      <c r="D65" s="33"/>
      <c r="E65" s="30"/>
      <c r="F65" s="30"/>
    </row>
    <row r="66" spans="1:6" x14ac:dyDescent="0.3">
      <c r="A66" s="31" t="s">
        <v>97</v>
      </c>
      <c r="B66" s="32"/>
      <c r="C66" s="30"/>
      <c r="D66" s="33"/>
      <c r="E66" s="30"/>
      <c r="F66" s="30"/>
    </row>
    <row r="67" spans="1:6" x14ac:dyDescent="0.3">
      <c r="A67" s="31"/>
      <c r="B67" s="32"/>
      <c r="C67" s="30"/>
      <c r="D67" s="33"/>
      <c r="E67" s="30"/>
      <c r="F67" s="30"/>
    </row>
    <row r="68" spans="1:6" ht="22.5" customHeight="1" x14ac:dyDescent="0.3">
      <c r="A68" s="193" t="s">
        <v>65</v>
      </c>
      <c r="B68" s="194"/>
      <c r="C68" s="194"/>
      <c r="D68" s="194"/>
      <c r="E68" s="194"/>
      <c r="F68" s="194"/>
    </row>
    <row r="69" spans="1:6" ht="72" x14ac:dyDescent="0.3">
      <c r="A69" s="34" t="s">
        <v>66</v>
      </c>
      <c r="B69" s="35" t="s">
        <v>67</v>
      </c>
      <c r="C69" s="35" t="s">
        <v>68</v>
      </c>
      <c r="D69" s="34" t="s">
        <v>69</v>
      </c>
      <c r="E69" s="36" t="s">
        <v>70</v>
      </c>
      <c r="F69" s="28" t="s">
        <v>71</v>
      </c>
    </row>
    <row r="70" spans="1:6" ht="24.6" x14ac:dyDescent="0.3">
      <c r="A70" s="37">
        <v>139465.5</v>
      </c>
      <c r="B70" s="37">
        <f>30831.36+30868.23+30867.85+30867.85+30867.85+30867.89+30867.89+30867.89+30946.86+31424.42+69488.28+31423.9</f>
        <v>410190.27</v>
      </c>
      <c r="C70" s="37">
        <f>29465.32+20726.24+24165.34+77003.47+22415.63+22307.45+28453.44+52801.92+21463.83+49340.28+24211.34</f>
        <v>372354.26000000007</v>
      </c>
      <c r="D70" s="37">
        <f>B70</f>
        <v>410190.27</v>
      </c>
      <c r="E70" s="38">
        <f>A70+B70-C70</f>
        <v>177301.50999999995</v>
      </c>
      <c r="F70" s="36" t="s">
        <v>98</v>
      </c>
    </row>
    <row r="71" spans="1:6" x14ac:dyDescent="0.3">
      <c r="A71" s="37">
        <v>32867.699999999997</v>
      </c>
      <c r="B71" s="37">
        <f>14904.42+14874.49+14621.16+15127.82+14692.64+15127.82+15127.82+14910.23+15166.57+14500.62+17507.02</f>
        <v>166560.60999999999</v>
      </c>
      <c r="C71" s="37">
        <f>14329.04+9956.73+11351.73+27201.16+10620.38+10836.13+13615.94+21624.86+10522.48+13560.02+11857.53+17113.6</f>
        <v>172589.6</v>
      </c>
      <c r="D71" s="37">
        <f t="shared" ref="D71:D72" si="5">B71</f>
        <v>166560.60999999999</v>
      </c>
      <c r="E71" s="38">
        <f t="shared" ref="E71:E73" si="6">A71+B71-C71</f>
        <v>26838.709999999992</v>
      </c>
      <c r="F71" s="36" t="s">
        <v>73</v>
      </c>
    </row>
    <row r="72" spans="1:6" ht="48.6" x14ac:dyDescent="0.3">
      <c r="A72" s="37">
        <v>57272.25</v>
      </c>
      <c r="B72" s="37">
        <f>13638.88+13638.88+13638.88+13638.88+13638.88+13638.88+13638.88+13638.88+13673.81+13884.82+20048.7+13884.82</f>
        <v>170603.19000000003</v>
      </c>
      <c r="C72" s="37">
        <f>12969.1+9156.58+10621.29+32850.56+9887.11+9836.02+12501.44+22885.92+9470.27+12213.72+10697.84+17318.58</f>
        <v>170408.43</v>
      </c>
      <c r="D72" s="37">
        <f t="shared" si="5"/>
        <v>170603.19000000003</v>
      </c>
      <c r="E72" s="38">
        <f t="shared" si="6"/>
        <v>57467.010000000038</v>
      </c>
      <c r="F72" s="36" t="s">
        <v>74</v>
      </c>
    </row>
    <row r="73" spans="1:6" ht="24.6" x14ac:dyDescent="0.3">
      <c r="A73" s="37">
        <v>40465.24</v>
      </c>
      <c r="B73" s="37">
        <f>6723.36+6723.36+6723.36+6723.36+6723.36+6723.36+6723.36+6723.36+6740.58+6844.6+10760.83+6844.6</f>
        <v>84977.49</v>
      </c>
      <c r="C73" s="37">
        <f>6482.62+4517.44+5374.04+19456.34+4921.58+4901.09+6383.06+12526.7+4711.2+6050.42+5273.79</f>
        <v>80598.279999999984</v>
      </c>
      <c r="D73" s="37"/>
      <c r="E73" s="38">
        <f t="shared" si="6"/>
        <v>44844.450000000026</v>
      </c>
      <c r="F73" s="36" t="s">
        <v>75</v>
      </c>
    </row>
    <row r="74" spans="1:6" x14ac:dyDescent="0.3">
      <c r="A74" s="39">
        <f>SUM(A70:A73)</f>
        <v>270070.69</v>
      </c>
      <c r="B74" s="39">
        <f>SUM(B70:B73)</f>
        <v>832331.56</v>
      </c>
      <c r="C74" s="39">
        <f>SUM(C70:C73)</f>
        <v>795950.57000000007</v>
      </c>
      <c r="D74" s="39">
        <f>SUM(D70:D73)</f>
        <v>747354.07000000007</v>
      </c>
      <c r="E74" s="39">
        <f>SUM(E70:E73)</f>
        <v>306451.68</v>
      </c>
      <c r="F74" s="40" t="s">
        <v>13</v>
      </c>
    </row>
    <row r="75" spans="1:6" ht="11.25" customHeight="1" x14ac:dyDescent="0.3">
      <c r="A75" s="41"/>
      <c r="B75" s="41"/>
      <c r="C75" s="42"/>
      <c r="D75" s="41"/>
      <c r="E75" s="42"/>
      <c r="F75" s="41"/>
    </row>
    <row r="76" spans="1:6" x14ac:dyDescent="0.3">
      <c r="A76" s="195" t="s">
        <v>78</v>
      </c>
      <c r="B76" s="196"/>
      <c r="C76" s="196"/>
      <c r="D76" s="196"/>
      <c r="E76" s="196"/>
      <c r="F76" s="31"/>
    </row>
    <row r="77" spans="1:6" ht="72" x14ac:dyDescent="0.3">
      <c r="A77" s="34" t="s">
        <v>66</v>
      </c>
      <c r="B77" s="35" t="s">
        <v>67</v>
      </c>
      <c r="C77" s="35" t="s">
        <v>68</v>
      </c>
      <c r="D77" s="34" t="s">
        <v>69</v>
      </c>
      <c r="E77" s="36" t="s">
        <v>70</v>
      </c>
      <c r="F77" s="35" t="s">
        <v>79</v>
      </c>
    </row>
    <row r="78" spans="1:6" ht="24.6" x14ac:dyDescent="0.3">
      <c r="A78" s="38">
        <v>21550.35</v>
      </c>
      <c r="B78" s="38">
        <f>15735.39+21996.53+14479.35+12560.4+28470.24+18421.92+17724.12+30433.32+25124.76+20870.64+23706.72+19707.12</f>
        <v>249230.50999999998</v>
      </c>
      <c r="C78" s="38">
        <f>13246.09+16835.11+18515.74+14864.24+22842.69+18668.7+18586.17+25124.76+25267.08+19143.63+18499.89+16516.55</f>
        <v>228110.65000000002</v>
      </c>
      <c r="D78" s="38">
        <f>C78</f>
        <v>228110.65000000002</v>
      </c>
      <c r="E78" s="38">
        <f>A78+B78-C78</f>
        <v>42670.209999999963</v>
      </c>
      <c r="F78" s="36" t="s">
        <v>80</v>
      </c>
    </row>
    <row r="79" spans="1:6" ht="36.6" x14ac:dyDescent="0.3">
      <c r="A79" s="38">
        <v>77628.98</v>
      </c>
      <c r="B79" s="38">
        <f>36096.84+43527.51+6563.74</f>
        <v>86188.090000000011</v>
      </c>
      <c r="C79" s="38">
        <f>33691.85+34597.09+17011.29+26230.04+3044.43+1202.04+5810.93+13456.6+82.89+414.05+4.1+2035.58</f>
        <v>137580.89000000001</v>
      </c>
      <c r="D79" s="38">
        <f t="shared" ref="D79" si="7">C79</f>
        <v>137580.89000000001</v>
      </c>
      <c r="E79" s="38">
        <f t="shared" ref="E79" si="8">A79+B79-C79</f>
        <v>26236.179999999993</v>
      </c>
      <c r="F79" s="36" t="s">
        <v>83</v>
      </c>
    </row>
    <row r="80" spans="1:6" x14ac:dyDescent="0.3">
      <c r="A80" s="39">
        <f>SUM(A78:A79)</f>
        <v>99179.329999999987</v>
      </c>
      <c r="B80" s="39">
        <f>SUM(B78:B79)</f>
        <v>335418.59999999998</v>
      </c>
      <c r="C80" s="39">
        <f>SUM(C78:C79)</f>
        <v>365691.54000000004</v>
      </c>
      <c r="D80" s="39">
        <f>SUM(D78:D79)</f>
        <v>365691.54000000004</v>
      </c>
      <c r="E80" s="39">
        <f>SUM(E78:E79)</f>
        <v>68906.389999999956</v>
      </c>
      <c r="F80" s="40" t="s">
        <v>13</v>
      </c>
    </row>
    <row r="81" spans="1:6" s="3" customFormat="1" x14ac:dyDescent="0.3">
      <c r="A81" s="197" t="s">
        <v>84</v>
      </c>
      <c r="B81" s="198"/>
      <c r="C81" s="198"/>
      <c r="D81" s="198"/>
      <c r="E81" s="198"/>
      <c r="F81" s="198"/>
    </row>
    <row r="82" spans="1:6" s="3" customFormat="1" x14ac:dyDescent="0.3">
      <c r="A82" s="198"/>
      <c r="B82" s="198"/>
      <c r="C82" s="198"/>
      <c r="D82" s="198"/>
      <c r="E82" s="198"/>
      <c r="F82" s="198"/>
    </row>
    <row r="83" spans="1:6" s="47" customFormat="1" x14ac:dyDescent="0.3">
      <c r="A83" s="43">
        <v>1</v>
      </c>
      <c r="B83" s="44"/>
      <c r="C83" s="44" t="s">
        <v>89</v>
      </c>
      <c r="D83" s="45"/>
      <c r="E83" s="46"/>
      <c r="F83" s="46"/>
    </row>
    <row r="84" spans="1:6" s="3" customFormat="1" ht="46.5" customHeight="1" x14ac:dyDescent="0.3">
      <c r="A84" s="48" t="s">
        <v>90</v>
      </c>
      <c r="B84" s="49" t="s">
        <v>99</v>
      </c>
      <c r="C84" s="34" t="s">
        <v>100</v>
      </c>
      <c r="D84" s="50">
        <v>55066.54</v>
      </c>
      <c r="E84" s="31"/>
      <c r="F84" s="31"/>
    </row>
    <row r="85" spans="1:6" s="47" customFormat="1" x14ac:dyDescent="0.3">
      <c r="A85" s="51">
        <v>2</v>
      </c>
      <c r="B85" s="199" t="s">
        <v>91</v>
      </c>
      <c r="C85" s="200"/>
      <c r="D85" s="45"/>
      <c r="E85" s="46"/>
      <c r="F85" s="46"/>
    </row>
    <row r="86" spans="1:6" s="3" customFormat="1" x14ac:dyDescent="0.3">
      <c r="A86" s="54" t="s">
        <v>92</v>
      </c>
      <c r="B86" s="55"/>
      <c r="C86" s="36"/>
      <c r="D86" s="50"/>
      <c r="E86" s="31"/>
      <c r="F86" s="31"/>
    </row>
  </sheetData>
  <mergeCells count="47">
    <mergeCell ref="A61:E61"/>
    <mergeCell ref="A68:F68"/>
    <mergeCell ref="A76:E76"/>
    <mergeCell ref="A81:F82"/>
    <mergeCell ref="B85:C85"/>
    <mergeCell ref="A60:F60"/>
    <mergeCell ref="A20:F20"/>
    <mergeCell ref="B21:C21"/>
    <mergeCell ref="A23:F23"/>
    <mergeCell ref="A24:F24"/>
    <mergeCell ref="A25:F25"/>
    <mergeCell ref="A26:E26"/>
    <mergeCell ref="A32:F32"/>
    <mergeCell ref="A41:E41"/>
    <mergeCell ref="A49:F50"/>
    <mergeCell ref="A58:F58"/>
    <mergeCell ref="A59:F59"/>
    <mergeCell ref="A19:F19"/>
    <mergeCell ref="B12:D12"/>
    <mergeCell ref="E12:F12"/>
    <mergeCell ref="B13:D13"/>
    <mergeCell ref="E13:F13"/>
    <mergeCell ref="B14:D14"/>
    <mergeCell ref="E14:F14"/>
    <mergeCell ref="B15:D15"/>
    <mergeCell ref="E15:F15"/>
    <mergeCell ref="A17:F17"/>
    <mergeCell ref="C18:D18"/>
    <mergeCell ref="E18:F18"/>
    <mergeCell ref="B9:D9"/>
    <mergeCell ref="E9:F9"/>
    <mergeCell ref="B10:D10"/>
    <mergeCell ref="E10:F10"/>
    <mergeCell ref="B11:D11"/>
    <mergeCell ref="E11:F11"/>
    <mergeCell ref="B6:D6"/>
    <mergeCell ref="E6:F6"/>
    <mergeCell ref="B7:D7"/>
    <mergeCell ref="E7:F7"/>
    <mergeCell ref="B8:D8"/>
    <mergeCell ref="E8:F8"/>
    <mergeCell ref="A1:F1"/>
    <mergeCell ref="A3:F3"/>
    <mergeCell ref="B4:D4"/>
    <mergeCell ref="E4:F4"/>
    <mergeCell ref="B5:D5"/>
    <mergeCell ref="E5:F5"/>
  </mergeCells>
  <pageMargins left="0.31496062992125984" right="0.11811023622047245" top="0.74803149606299213" bottom="0.74803149606299213" header="0.31496062992125984" footer="0.31496062992125984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92"/>
  <sheetViews>
    <sheetView zoomScaleNormal="100" workbookViewId="0">
      <selection activeCell="A89" sqref="A89:D91"/>
    </sheetView>
  </sheetViews>
  <sheetFormatPr defaultColWidth="9.109375" defaultRowHeight="14.4" x14ac:dyDescent="0.3"/>
  <cols>
    <col min="1" max="1" width="11" style="56" customWidth="1"/>
    <col min="2" max="2" width="13" style="56" customWidth="1"/>
    <col min="3" max="3" width="16" style="19" customWidth="1"/>
    <col min="4" max="4" width="16.5546875" style="19" customWidth="1"/>
    <col min="5" max="5" width="15" style="19" customWidth="1"/>
    <col min="6" max="6" width="21.109375" style="19" customWidth="1"/>
    <col min="7" max="7" width="11.5546875" style="19" bestFit="1" customWidth="1"/>
    <col min="8" max="8" width="9.109375" style="19"/>
    <col min="9" max="9" width="10.5546875" style="19" bestFit="1" customWidth="1"/>
    <col min="10" max="10" width="11.5546875" style="19" customWidth="1"/>
    <col min="11" max="11" width="10.33203125" style="19" bestFit="1" customWidth="1"/>
    <col min="12" max="16384" width="9.109375" style="19"/>
  </cols>
  <sheetData>
    <row r="1" spans="1:6" x14ac:dyDescent="0.3">
      <c r="A1" s="168" t="s">
        <v>31</v>
      </c>
      <c r="B1" s="168"/>
      <c r="C1" s="168"/>
      <c r="D1" s="168"/>
      <c r="E1" s="168"/>
      <c r="F1" s="168"/>
    </row>
    <row r="2" spans="1:6" x14ac:dyDescent="0.3">
      <c r="A2" s="20"/>
      <c r="B2" s="20"/>
      <c r="C2" s="20"/>
      <c r="D2" s="20"/>
      <c r="E2" s="20"/>
      <c r="F2" s="20"/>
    </row>
    <row r="3" spans="1:6" ht="24" customHeight="1" x14ac:dyDescent="0.3">
      <c r="A3" s="169" t="s">
        <v>32</v>
      </c>
      <c r="B3" s="169"/>
      <c r="C3" s="169"/>
      <c r="D3" s="169"/>
      <c r="E3" s="169"/>
      <c r="F3" s="169"/>
    </row>
    <row r="4" spans="1:6" x14ac:dyDescent="0.3">
      <c r="A4" s="21">
        <v>1</v>
      </c>
      <c r="B4" s="170" t="s">
        <v>33</v>
      </c>
      <c r="C4" s="171"/>
      <c r="D4" s="172"/>
      <c r="E4" s="173" t="s">
        <v>34</v>
      </c>
      <c r="F4" s="173"/>
    </row>
    <row r="5" spans="1:6" x14ac:dyDescent="0.3">
      <c r="A5" s="21">
        <v>2</v>
      </c>
      <c r="B5" s="170" t="s">
        <v>35</v>
      </c>
      <c r="C5" s="171"/>
      <c r="D5" s="172"/>
      <c r="E5" s="173">
        <v>9</v>
      </c>
      <c r="F5" s="173"/>
    </row>
    <row r="6" spans="1:6" x14ac:dyDescent="0.3">
      <c r="A6" s="21">
        <v>3</v>
      </c>
      <c r="B6" s="170" t="s">
        <v>36</v>
      </c>
      <c r="C6" s="171"/>
      <c r="D6" s="172"/>
      <c r="E6" s="173">
        <v>169</v>
      </c>
      <c r="F6" s="173"/>
    </row>
    <row r="7" spans="1:6" ht="15" customHeight="1" x14ac:dyDescent="0.3">
      <c r="A7" s="21">
        <v>4</v>
      </c>
      <c r="B7" s="170" t="s">
        <v>37</v>
      </c>
      <c r="C7" s="171"/>
      <c r="D7" s="172"/>
      <c r="E7" s="173">
        <v>9441.7900000000009</v>
      </c>
      <c r="F7" s="173"/>
    </row>
    <row r="8" spans="1:6" ht="15" customHeight="1" x14ac:dyDescent="0.3">
      <c r="A8" s="21">
        <v>5</v>
      </c>
      <c r="B8" s="170" t="s">
        <v>38</v>
      </c>
      <c r="C8" s="171"/>
      <c r="D8" s="172"/>
      <c r="E8" s="173">
        <f>37.8+56.4</f>
        <v>94.199999999999989</v>
      </c>
      <c r="F8" s="173"/>
    </row>
    <row r="9" spans="1:6" ht="15" customHeight="1" x14ac:dyDescent="0.3">
      <c r="A9" s="21">
        <v>6</v>
      </c>
      <c r="B9" s="170" t="s">
        <v>39</v>
      </c>
      <c r="C9" s="171"/>
      <c r="D9" s="172"/>
      <c r="E9" s="173">
        <v>1202</v>
      </c>
      <c r="F9" s="173"/>
    </row>
    <row r="10" spans="1:6" ht="57" customHeight="1" x14ac:dyDescent="0.3">
      <c r="A10" s="21">
        <v>7</v>
      </c>
      <c r="B10" s="174" t="s">
        <v>40</v>
      </c>
      <c r="C10" s="175"/>
      <c r="D10" s="176"/>
      <c r="E10" s="177" t="s">
        <v>41</v>
      </c>
      <c r="F10" s="178"/>
    </row>
    <row r="11" spans="1:6" x14ac:dyDescent="0.3">
      <c r="A11" s="21">
        <v>8</v>
      </c>
      <c r="B11" s="170" t="s">
        <v>42</v>
      </c>
      <c r="C11" s="171"/>
      <c r="D11" s="172"/>
      <c r="E11" s="170" t="s">
        <v>43</v>
      </c>
      <c r="F11" s="172"/>
    </row>
    <row r="12" spans="1:6" x14ac:dyDescent="0.3">
      <c r="A12" s="21">
        <v>9</v>
      </c>
      <c r="B12" s="170" t="s">
        <v>44</v>
      </c>
      <c r="C12" s="171"/>
      <c r="D12" s="172"/>
      <c r="E12" s="180" t="s">
        <v>43</v>
      </c>
      <c r="F12" s="180"/>
    </row>
    <row r="13" spans="1:6" ht="45" customHeight="1" x14ac:dyDescent="0.3">
      <c r="A13" s="21">
        <v>10</v>
      </c>
      <c r="B13" s="170" t="s">
        <v>45</v>
      </c>
      <c r="C13" s="171"/>
      <c r="D13" s="172"/>
      <c r="E13" s="180" t="s">
        <v>43</v>
      </c>
      <c r="F13" s="180"/>
    </row>
    <row r="14" spans="1:6" ht="30.75" customHeight="1" x14ac:dyDescent="0.3">
      <c r="A14" s="21">
        <v>11</v>
      </c>
      <c r="B14" s="170" t="s">
        <v>46</v>
      </c>
      <c r="C14" s="171"/>
      <c r="D14" s="172"/>
      <c r="E14" s="174" t="s">
        <v>47</v>
      </c>
      <c r="F14" s="176"/>
    </row>
    <row r="15" spans="1:6" ht="102.75" customHeight="1" x14ac:dyDescent="0.3">
      <c r="A15" s="21">
        <v>12</v>
      </c>
      <c r="B15" s="174" t="s">
        <v>48</v>
      </c>
      <c r="C15" s="175"/>
      <c r="D15" s="176"/>
      <c r="E15" s="181" t="s">
        <v>49</v>
      </c>
      <c r="F15" s="182"/>
    </row>
    <row r="16" spans="1:6" ht="18" customHeight="1" x14ac:dyDescent="0.3">
      <c r="A16" s="22"/>
      <c r="B16" s="22"/>
      <c r="C16" s="22"/>
      <c r="D16" s="23"/>
      <c r="E16" s="23"/>
      <c r="F16" s="24"/>
    </row>
    <row r="17" spans="1:6" ht="14.25" customHeight="1" x14ac:dyDescent="0.3">
      <c r="A17" s="169" t="s">
        <v>50</v>
      </c>
      <c r="B17" s="169"/>
      <c r="C17" s="169"/>
      <c r="D17" s="169"/>
      <c r="E17" s="169"/>
      <c r="F17" s="169"/>
    </row>
    <row r="18" spans="1:6" ht="42.75" customHeight="1" x14ac:dyDescent="0.3">
      <c r="A18" s="21">
        <v>1</v>
      </c>
      <c r="B18" s="57"/>
      <c r="C18" s="201" t="s">
        <v>51</v>
      </c>
      <c r="D18" s="202"/>
      <c r="E18" s="203" t="s">
        <v>52</v>
      </c>
      <c r="F18" s="203"/>
    </row>
    <row r="19" spans="1:6" ht="13.5" customHeight="1" x14ac:dyDescent="0.3">
      <c r="A19" s="179"/>
      <c r="B19" s="179"/>
      <c r="C19" s="179"/>
      <c r="D19" s="179"/>
      <c r="E19" s="179"/>
      <c r="F19" s="179"/>
    </row>
    <row r="20" spans="1:6" ht="12.75" customHeight="1" x14ac:dyDescent="0.3">
      <c r="A20" s="185" t="s">
        <v>102</v>
      </c>
      <c r="B20" s="185"/>
      <c r="C20" s="185"/>
      <c r="D20" s="185"/>
      <c r="E20" s="185"/>
      <c r="F20" s="185"/>
    </row>
    <row r="21" spans="1:6" x14ac:dyDescent="0.3">
      <c r="A21" s="26">
        <v>1</v>
      </c>
      <c r="B21" s="204"/>
      <c r="C21" s="205"/>
      <c r="D21" s="58"/>
      <c r="E21" s="59"/>
      <c r="F21" s="29"/>
    </row>
    <row r="22" spans="1:6" x14ac:dyDescent="0.3">
      <c r="A22" s="22"/>
      <c r="B22" s="22"/>
      <c r="C22" s="24"/>
      <c r="D22" s="24"/>
      <c r="E22" s="24"/>
      <c r="F22" s="24"/>
    </row>
    <row r="23" spans="1:6" ht="15" customHeight="1" x14ac:dyDescent="0.3">
      <c r="A23" s="188" t="s">
        <v>57</v>
      </c>
      <c r="B23" s="189"/>
      <c r="C23" s="189"/>
      <c r="D23" s="189"/>
      <c r="E23" s="189"/>
      <c r="F23" s="189"/>
    </row>
    <row r="24" spans="1:6" s="3" customFormat="1" ht="15" customHeight="1" x14ac:dyDescent="0.3">
      <c r="A24" s="190" t="s">
        <v>58</v>
      </c>
      <c r="B24" s="189"/>
      <c r="C24" s="189"/>
      <c r="D24" s="189"/>
      <c r="E24" s="189"/>
      <c r="F24" s="189"/>
    </row>
    <row r="25" spans="1:6" s="3" customFormat="1" ht="27" customHeight="1" x14ac:dyDescent="0.3">
      <c r="A25" s="183" t="s">
        <v>103</v>
      </c>
      <c r="B25" s="191"/>
      <c r="C25" s="191"/>
      <c r="D25" s="191"/>
      <c r="E25" s="191"/>
      <c r="F25" s="191"/>
    </row>
    <row r="26" spans="1:6" s="3" customFormat="1" x14ac:dyDescent="0.3">
      <c r="A26" s="192" t="s">
        <v>60</v>
      </c>
      <c r="B26" s="189"/>
      <c r="C26" s="189"/>
      <c r="D26" s="189"/>
      <c r="E26" s="189"/>
      <c r="F26" s="30"/>
    </row>
    <row r="27" spans="1:6" s="3" customFormat="1" x14ac:dyDescent="0.3">
      <c r="A27" s="31"/>
      <c r="B27" s="32"/>
      <c r="C27" s="30"/>
      <c r="D27" s="33"/>
      <c r="E27" s="30"/>
      <c r="F27" s="30"/>
    </row>
    <row r="28" spans="1:6" x14ac:dyDescent="0.3">
      <c r="A28" s="31" t="s">
        <v>61</v>
      </c>
      <c r="B28" s="32"/>
      <c r="C28" s="30"/>
      <c r="D28" s="33"/>
      <c r="E28" s="30"/>
      <c r="F28" s="30"/>
    </row>
    <row r="29" spans="1:6" x14ac:dyDescent="0.3">
      <c r="A29" s="31" t="s">
        <v>62</v>
      </c>
      <c r="B29" s="32"/>
      <c r="C29" s="30"/>
      <c r="D29" s="33"/>
      <c r="E29" s="30"/>
      <c r="F29" s="30"/>
    </row>
    <row r="30" spans="1:6" x14ac:dyDescent="0.3">
      <c r="A30" s="31" t="s">
        <v>63</v>
      </c>
      <c r="B30" s="32"/>
      <c r="C30" s="30"/>
      <c r="D30" s="33"/>
      <c r="E30" s="30"/>
      <c r="F30" s="30"/>
    </row>
    <row r="31" spans="1:6" x14ac:dyDescent="0.3">
      <c r="A31" s="31" t="s">
        <v>64</v>
      </c>
      <c r="B31" s="32"/>
      <c r="C31" s="30"/>
      <c r="D31" s="33"/>
      <c r="E31" s="30"/>
      <c r="F31" s="30"/>
    </row>
    <row r="32" spans="1:6" ht="27.75" customHeight="1" x14ac:dyDescent="0.3">
      <c r="A32" s="193" t="s">
        <v>65</v>
      </c>
      <c r="B32" s="194"/>
      <c r="C32" s="194"/>
      <c r="D32" s="194"/>
      <c r="E32" s="194"/>
      <c r="F32" s="194"/>
    </row>
    <row r="33" spans="1:7" ht="72" x14ac:dyDescent="0.3">
      <c r="A33" s="34" t="s">
        <v>104</v>
      </c>
      <c r="B33" s="28" t="s">
        <v>105</v>
      </c>
      <c r="C33" s="28" t="s">
        <v>106</v>
      </c>
      <c r="D33" s="34" t="s">
        <v>69</v>
      </c>
      <c r="E33" s="60" t="s">
        <v>107</v>
      </c>
      <c r="F33" s="28" t="s">
        <v>71</v>
      </c>
    </row>
    <row r="34" spans="1:7" ht="24.6" x14ac:dyDescent="0.3">
      <c r="A34" s="38">
        <v>54495.049999999988</v>
      </c>
      <c r="B34" s="37">
        <f>370633.28+43455.96</f>
        <v>414089.24000000005</v>
      </c>
      <c r="C34" s="37">
        <f>403521.19+45120.07</f>
        <v>448641.26</v>
      </c>
      <c r="D34" s="37">
        <f>B34</f>
        <v>414089.24000000005</v>
      </c>
      <c r="E34" s="38">
        <f>A34+B34-C34</f>
        <v>19943.030000000028</v>
      </c>
      <c r="F34" s="36" t="s">
        <v>72</v>
      </c>
    </row>
    <row r="35" spans="1:7" x14ac:dyDescent="0.3">
      <c r="A35" s="38">
        <v>21177.489999999991</v>
      </c>
      <c r="B35" s="37">
        <v>148178.41</v>
      </c>
      <c r="C35" s="37">
        <v>157298.26999999999</v>
      </c>
      <c r="D35" s="37">
        <f t="shared" ref="D35:D39" si="0">B35</f>
        <v>148178.41</v>
      </c>
      <c r="E35" s="38">
        <f t="shared" ref="E35:E39" si="1">A35+B35-C35</f>
        <v>12057.630000000005</v>
      </c>
      <c r="F35" s="36" t="s">
        <v>73</v>
      </c>
    </row>
    <row r="36" spans="1:7" ht="54.75" customHeight="1" x14ac:dyDescent="0.3">
      <c r="A36" s="38">
        <v>15386.420000000013</v>
      </c>
      <c r="B36" s="37">
        <v>139656.12</v>
      </c>
      <c r="C36" s="37">
        <v>155036.66</v>
      </c>
      <c r="D36" s="37">
        <f t="shared" si="0"/>
        <v>139656.12</v>
      </c>
      <c r="E36" s="38">
        <f t="shared" si="1"/>
        <v>5.8800000000046566</v>
      </c>
      <c r="F36" s="36" t="s">
        <v>74</v>
      </c>
    </row>
    <row r="37" spans="1:7" s="77" customFormat="1" ht="24.6" x14ac:dyDescent="0.3">
      <c r="A37" s="73">
        <v>15986.249999999985</v>
      </c>
      <c r="B37" s="74">
        <v>113835.12</v>
      </c>
      <c r="C37" s="74">
        <v>121210.08</v>
      </c>
      <c r="D37" s="75"/>
      <c r="E37" s="73">
        <f t="shared" si="1"/>
        <v>8611.289999999979</v>
      </c>
      <c r="F37" s="76" t="s">
        <v>75</v>
      </c>
    </row>
    <row r="38" spans="1:7" s="77" customFormat="1" ht="24.6" x14ac:dyDescent="0.3">
      <c r="A38" s="73">
        <v>7432.5800000000008</v>
      </c>
      <c r="B38" s="74">
        <v>0</v>
      </c>
      <c r="C38" s="74">
        <v>369.18</v>
      </c>
      <c r="D38" s="75"/>
      <c r="E38" s="73">
        <f t="shared" si="1"/>
        <v>7063.4000000000005</v>
      </c>
      <c r="F38" s="76" t="s">
        <v>76</v>
      </c>
    </row>
    <row r="39" spans="1:7" ht="26.25" customHeight="1" x14ac:dyDescent="0.3">
      <c r="A39" s="38"/>
      <c r="B39" s="37">
        <v>86400</v>
      </c>
      <c r="C39" s="37">
        <v>87133.62</v>
      </c>
      <c r="D39" s="37">
        <f t="shared" si="0"/>
        <v>86400</v>
      </c>
      <c r="E39" s="38">
        <f t="shared" si="1"/>
        <v>-733.61999999999534</v>
      </c>
      <c r="F39" s="78" t="s">
        <v>101</v>
      </c>
    </row>
    <row r="40" spans="1:7" x14ac:dyDescent="0.3">
      <c r="A40" s="39">
        <f>SUM(A34:A39)</f>
        <v>114477.78999999998</v>
      </c>
      <c r="B40" s="39">
        <f t="shared" ref="B40:E40" si="2">SUM(B34:B39)</f>
        <v>902158.89</v>
      </c>
      <c r="C40" s="39">
        <f t="shared" si="2"/>
        <v>969689.07000000007</v>
      </c>
      <c r="D40" s="39">
        <f t="shared" si="2"/>
        <v>788323.77</v>
      </c>
      <c r="E40" s="39">
        <f t="shared" si="2"/>
        <v>46947.610000000022</v>
      </c>
      <c r="F40" s="40" t="s">
        <v>77</v>
      </c>
      <c r="G40" s="67"/>
    </row>
    <row r="41" spans="1:7" x14ac:dyDescent="0.3">
      <c r="A41" s="41"/>
      <c r="B41" s="41"/>
      <c r="C41" s="42"/>
      <c r="D41" s="41"/>
      <c r="E41" s="42"/>
      <c r="F41" s="41"/>
    </row>
    <row r="42" spans="1:7" x14ac:dyDescent="0.3">
      <c r="A42" s="195" t="s">
        <v>78</v>
      </c>
      <c r="B42" s="196"/>
      <c r="C42" s="196"/>
      <c r="D42" s="196"/>
      <c r="E42" s="196"/>
      <c r="F42" s="31"/>
    </row>
    <row r="43" spans="1:7" ht="72" x14ac:dyDescent="0.3">
      <c r="A43" s="34" t="s">
        <v>104</v>
      </c>
      <c r="B43" s="28" t="s">
        <v>105</v>
      </c>
      <c r="C43" s="28" t="s">
        <v>106</v>
      </c>
      <c r="D43" s="34" t="s">
        <v>69</v>
      </c>
      <c r="E43" s="60" t="s">
        <v>107</v>
      </c>
      <c r="F43" s="28" t="s">
        <v>79</v>
      </c>
    </row>
    <row r="44" spans="1:7" ht="24.6" x14ac:dyDescent="0.3">
      <c r="A44" s="38">
        <v>12331.580000000133</v>
      </c>
      <c r="B44" s="38">
        <v>262185.34000000003</v>
      </c>
      <c r="C44" s="38">
        <v>285649.49</v>
      </c>
      <c r="D44" s="38">
        <f>C44</f>
        <v>285649.49</v>
      </c>
      <c r="E44" s="38">
        <f t="shared" ref="E44:E47" si="3">A44+B44-C44</f>
        <v>-11132.569999999832</v>
      </c>
      <c r="F44" s="36" t="s">
        <v>80</v>
      </c>
    </row>
    <row r="45" spans="1:7" x14ac:dyDescent="0.3">
      <c r="A45" s="38">
        <v>81609.620000000054</v>
      </c>
      <c r="B45" s="38">
        <v>487635</v>
      </c>
      <c r="C45" s="38">
        <v>503469.72</v>
      </c>
      <c r="D45" s="38">
        <f t="shared" ref="D45:D47" si="4">C45</f>
        <v>503469.72</v>
      </c>
      <c r="E45" s="38">
        <f t="shared" si="3"/>
        <v>65774.90000000014</v>
      </c>
      <c r="F45" s="36" t="s">
        <v>81</v>
      </c>
    </row>
    <row r="46" spans="1:7" x14ac:dyDescent="0.3">
      <c r="A46" s="38">
        <v>208338.12000000011</v>
      </c>
      <c r="B46" s="38">
        <v>1292945.75</v>
      </c>
      <c r="C46" s="38">
        <v>1284258.8</v>
      </c>
      <c r="D46" s="38">
        <f>C46</f>
        <v>1284258.8</v>
      </c>
      <c r="E46" s="38">
        <f t="shared" si="3"/>
        <v>217025.07000000007</v>
      </c>
      <c r="F46" s="36" t="s">
        <v>82</v>
      </c>
    </row>
    <row r="47" spans="1:7" ht="43.5" customHeight="1" x14ac:dyDescent="0.3">
      <c r="A47" s="38">
        <v>473.2400000000016</v>
      </c>
      <c r="B47" s="38">
        <v>0</v>
      </c>
      <c r="C47" s="38">
        <v>2598.71</v>
      </c>
      <c r="D47" s="38">
        <f t="shared" si="4"/>
        <v>2598.71</v>
      </c>
      <c r="E47" s="38">
        <f t="shared" si="3"/>
        <v>-2125.4699999999984</v>
      </c>
      <c r="F47" s="36" t="s">
        <v>83</v>
      </c>
    </row>
    <row r="48" spans="1:7" x14ac:dyDescent="0.3">
      <c r="A48" s="39">
        <f>SUM(A44:A47)</f>
        <v>302752.56000000029</v>
      </c>
      <c r="B48" s="39">
        <f t="shared" ref="B48:E48" si="5">SUM(B44:B47)</f>
        <v>2042766.09</v>
      </c>
      <c r="C48" s="39">
        <f t="shared" si="5"/>
        <v>2075976.72</v>
      </c>
      <c r="D48" s="39">
        <f t="shared" si="5"/>
        <v>2075976.72</v>
      </c>
      <c r="E48" s="39">
        <f t="shared" si="5"/>
        <v>269541.9300000004</v>
      </c>
      <c r="F48" s="40" t="s">
        <v>13</v>
      </c>
      <c r="G48" s="67"/>
    </row>
    <row r="49" spans="1:8" ht="8.25" customHeight="1" x14ac:dyDescent="0.3">
      <c r="A49" s="22"/>
      <c r="B49" s="22"/>
      <c r="C49" s="24"/>
      <c r="D49" s="24"/>
      <c r="E49" s="24"/>
      <c r="F49" s="24"/>
    </row>
    <row r="50" spans="1:8" s="3" customFormat="1" x14ac:dyDescent="0.3">
      <c r="A50" s="197" t="s">
        <v>84</v>
      </c>
      <c r="B50" s="198"/>
      <c r="C50" s="198"/>
      <c r="D50" s="198"/>
      <c r="E50" s="198"/>
      <c r="F50" s="198"/>
    </row>
    <row r="51" spans="1:8" s="3" customFormat="1" x14ac:dyDescent="0.3">
      <c r="A51" s="198"/>
      <c r="B51" s="198"/>
      <c r="C51" s="198"/>
      <c r="D51" s="198"/>
      <c r="E51" s="198"/>
      <c r="F51" s="198"/>
    </row>
    <row r="52" spans="1:8" s="3" customFormat="1" ht="48" x14ac:dyDescent="0.3">
      <c r="A52" s="34" t="s">
        <v>85</v>
      </c>
      <c r="B52" s="34" t="s">
        <v>86</v>
      </c>
      <c r="C52" s="34" t="s">
        <v>87</v>
      </c>
      <c r="D52" s="35" t="s">
        <v>88</v>
      </c>
      <c r="E52" s="31"/>
      <c r="F52" s="31"/>
    </row>
    <row r="53" spans="1:8" s="47" customFormat="1" x14ac:dyDescent="0.3">
      <c r="A53" s="43">
        <v>1</v>
      </c>
      <c r="B53" s="44"/>
      <c r="C53" s="44" t="s">
        <v>89</v>
      </c>
      <c r="D53" s="45"/>
      <c r="E53" s="46"/>
      <c r="F53" s="46"/>
    </row>
    <row r="54" spans="1:8" s="3" customFormat="1" x14ac:dyDescent="0.3">
      <c r="A54" s="48" t="s">
        <v>90</v>
      </c>
      <c r="B54" s="49"/>
      <c r="C54" s="34"/>
      <c r="D54" s="50"/>
      <c r="E54" s="31"/>
      <c r="F54" s="31"/>
      <c r="H54" s="68"/>
    </row>
    <row r="55" spans="1:8" ht="5.25" customHeight="1" x14ac:dyDescent="0.3">
      <c r="A55" s="22"/>
      <c r="B55" s="22"/>
      <c r="C55" s="24"/>
      <c r="D55" s="24"/>
      <c r="E55" s="24"/>
      <c r="F55" s="24"/>
    </row>
    <row r="56" spans="1:8" s="83" customFormat="1" ht="20.25" customHeight="1" x14ac:dyDescent="0.3">
      <c r="A56" s="87" t="s">
        <v>114</v>
      </c>
      <c r="B56" s="81"/>
      <c r="C56" s="82"/>
      <c r="D56" s="82"/>
      <c r="E56" s="82"/>
      <c r="F56" s="82"/>
    </row>
    <row r="57" spans="1:8" s="69" customFormat="1" ht="14.25" customHeight="1" x14ac:dyDescent="0.3">
      <c r="A57" s="169" t="s">
        <v>50</v>
      </c>
      <c r="B57" s="169"/>
      <c r="C57" s="169"/>
      <c r="D57" s="169"/>
      <c r="E57" s="169"/>
      <c r="F57" s="169"/>
    </row>
    <row r="58" spans="1:8" s="69" customFormat="1" ht="38.25" customHeight="1" x14ac:dyDescent="0.3">
      <c r="A58" s="21">
        <v>1</v>
      </c>
      <c r="B58" s="57"/>
      <c r="C58" s="201" t="s">
        <v>51</v>
      </c>
      <c r="D58" s="202"/>
      <c r="E58" s="203" t="s">
        <v>52</v>
      </c>
      <c r="F58" s="203"/>
    </row>
    <row r="59" spans="1:8" s="69" customFormat="1" ht="13.5" customHeight="1" x14ac:dyDescent="0.3">
      <c r="A59" s="179"/>
      <c r="B59" s="179"/>
      <c r="C59" s="179"/>
      <c r="D59" s="179"/>
      <c r="E59" s="179"/>
      <c r="F59" s="179"/>
    </row>
    <row r="60" spans="1:8" s="69" customFormat="1" ht="12.75" customHeight="1" x14ac:dyDescent="0.3">
      <c r="A60" s="185" t="s">
        <v>102</v>
      </c>
      <c r="B60" s="185"/>
      <c r="C60" s="185"/>
      <c r="D60" s="185"/>
      <c r="E60" s="185"/>
      <c r="F60" s="185"/>
    </row>
    <row r="61" spans="1:8" s="69" customFormat="1" x14ac:dyDescent="0.3">
      <c r="A61" s="26">
        <v>1</v>
      </c>
      <c r="B61" s="88"/>
      <c r="C61" s="92" t="s">
        <v>112</v>
      </c>
      <c r="D61" s="92" t="s">
        <v>113</v>
      </c>
      <c r="E61" s="70"/>
      <c r="F61" s="29"/>
    </row>
    <row r="62" spans="1:8" s="69" customFormat="1" x14ac:dyDescent="0.3">
      <c r="A62" s="26">
        <v>2</v>
      </c>
      <c r="B62" s="88"/>
      <c r="C62" s="92" t="s">
        <v>112</v>
      </c>
      <c r="D62" s="92" t="s">
        <v>113</v>
      </c>
      <c r="E62" s="70"/>
      <c r="F62" s="29"/>
    </row>
    <row r="63" spans="1:8" s="69" customFormat="1" x14ac:dyDescent="0.3">
      <c r="A63" s="84"/>
      <c r="B63" s="85"/>
      <c r="C63" s="85"/>
      <c r="D63" s="85"/>
      <c r="E63" s="86"/>
      <c r="F63" s="29"/>
    </row>
    <row r="64" spans="1:8" ht="15" customHeight="1" x14ac:dyDescent="0.3">
      <c r="A64" s="190" t="s">
        <v>58</v>
      </c>
      <c r="B64" s="184"/>
      <c r="C64" s="184"/>
      <c r="D64" s="184"/>
      <c r="E64" s="184"/>
      <c r="F64" s="184"/>
    </row>
    <row r="65" spans="1:7" ht="24.75" customHeight="1" x14ac:dyDescent="0.3">
      <c r="A65" s="183" t="s">
        <v>108</v>
      </c>
      <c r="B65" s="184"/>
      <c r="C65" s="184"/>
      <c r="D65" s="184"/>
      <c r="E65" s="184"/>
      <c r="F65" s="184"/>
    </row>
    <row r="66" spans="1:7" x14ac:dyDescent="0.3">
      <c r="A66" s="192" t="s">
        <v>60</v>
      </c>
      <c r="B66" s="184"/>
      <c r="C66" s="184"/>
      <c r="D66" s="184"/>
      <c r="E66" s="184"/>
      <c r="F66" s="30"/>
    </row>
    <row r="67" spans="1:7" x14ac:dyDescent="0.3">
      <c r="A67" s="31"/>
      <c r="B67" s="32"/>
      <c r="C67" s="30"/>
      <c r="D67" s="33"/>
      <c r="E67" s="30"/>
      <c r="F67" s="30"/>
    </row>
    <row r="68" spans="1:7" x14ac:dyDescent="0.3">
      <c r="A68" s="31" t="s">
        <v>109</v>
      </c>
      <c r="B68" s="32"/>
      <c r="C68" s="30"/>
      <c r="D68" s="33"/>
      <c r="E68" s="30"/>
      <c r="F68" s="30"/>
    </row>
    <row r="69" spans="1:7" x14ac:dyDescent="0.3">
      <c r="A69" s="31" t="s">
        <v>95</v>
      </c>
      <c r="B69" s="32"/>
      <c r="C69" s="30"/>
      <c r="D69" s="33"/>
      <c r="E69" s="30"/>
      <c r="F69" s="30"/>
    </row>
    <row r="70" spans="1:7" x14ac:dyDescent="0.3">
      <c r="A70" s="31" t="s">
        <v>96</v>
      </c>
      <c r="B70" s="32"/>
      <c r="C70" s="30"/>
      <c r="D70" s="33"/>
      <c r="E70" s="30"/>
      <c r="F70" s="30"/>
    </row>
    <row r="71" spans="1:7" x14ac:dyDescent="0.3">
      <c r="A71" s="31" t="s">
        <v>97</v>
      </c>
      <c r="B71" s="32"/>
      <c r="C71" s="30"/>
      <c r="D71" s="33"/>
      <c r="E71" s="30"/>
      <c r="F71" s="30"/>
    </row>
    <row r="72" spans="1:7" x14ac:dyDescent="0.3">
      <c r="A72" s="31"/>
      <c r="B72" s="32"/>
      <c r="C72" s="30"/>
      <c r="D72" s="33"/>
      <c r="E72" s="30"/>
      <c r="F72" s="30"/>
    </row>
    <row r="73" spans="1:7" ht="22.5" customHeight="1" x14ac:dyDescent="0.3">
      <c r="A73" s="193" t="s">
        <v>65</v>
      </c>
      <c r="B73" s="194"/>
      <c r="C73" s="194"/>
      <c r="D73" s="194"/>
      <c r="E73" s="194"/>
      <c r="F73" s="194"/>
    </row>
    <row r="74" spans="1:7" ht="72" x14ac:dyDescent="0.3">
      <c r="A74" s="34" t="s">
        <v>104</v>
      </c>
      <c r="B74" s="28" t="s">
        <v>105</v>
      </c>
      <c r="C74" s="28" t="s">
        <v>106</v>
      </c>
      <c r="D74" s="34" t="s">
        <v>69</v>
      </c>
      <c r="E74" s="60" t="s">
        <v>107</v>
      </c>
      <c r="F74" s="28" t="s">
        <v>71</v>
      </c>
    </row>
    <row r="75" spans="1:7" ht="24.6" x14ac:dyDescent="0.3">
      <c r="A75" s="37">
        <v>139465.5</v>
      </c>
      <c r="B75" s="37">
        <v>410170.28</v>
      </c>
      <c r="C75" s="37">
        <v>389648.47</v>
      </c>
      <c r="D75" s="37">
        <f>B75</f>
        <v>410170.28</v>
      </c>
      <c r="E75" s="38">
        <f>A75+B75-C75</f>
        <v>159987.31000000006</v>
      </c>
      <c r="F75" s="36" t="s">
        <v>98</v>
      </c>
    </row>
    <row r="76" spans="1:7" x14ac:dyDescent="0.3">
      <c r="A76" s="37">
        <v>32867.699999999997</v>
      </c>
      <c r="B76" s="37">
        <v>182117.48</v>
      </c>
      <c r="C76" s="37">
        <v>170279.12</v>
      </c>
      <c r="D76" s="37">
        <f t="shared" ref="D76:D79" si="6">B76</f>
        <v>182117.48</v>
      </c>
      <c r="E76" s="38">
        <f t="shared" ref="E76:E78" si="7">A76+B76-C76</f>
        <v>44706.06</v>
      </c>
      <c r="F76" s="36" t="s">
        <v>73</v>
      </c>
    </row>
    <row r="77" spans="1:7" s="77" customFormat="1" ht="48.6" x14ac:dyDescent="0.3">
      <c r="A77" s="74">
        <v>57272.25</v>
      </c>
      <c r="B77" s="74">
        <v>173169.16</v>
      </c>
      <c r="C77" s="74">
        <v>164629.31</v>
      </c>
      <c r="D77" s="74">
        <f t="shared" si="6"/>
        <v>173169.16</v>
      </c>
      <c r="E77" s="73">
        <f t="shared" si="7"/>
        <v>65812.100000000006</v>
      </c>
      <c r="F77" s="76" t="s">
        <v>74</v>
      </c>
    </row>
    <row r="78" spans="1:7" s="77" customFormat="1" ht="24.6" x14ac:dyDescent="0.3">
      <c r="A78" s="74">
        <v>40465.24</v>
      </c>
      <c r="B78" s="74">
        <v>85901.32</v>
      </c>
      <c r="C78" s="74">
        <v>83264.490000000005</v>
      </c>
      <c r="D78" s="75"/>
      <c r="E78" s="73">
        <f t="shared" si="7"/>
        <v>43102.069999999992</v>
      </c>
      <c r="F78" s="76" t="s">
        <v>75</v>
      </c>
    </row>
    <row r="79" spans="1:7" ht="24.6" x14ac:dyDescent="0.3">
      <c r="A79" s="37"/>
      <c r="B79" s="37">
        <v>118800</v>
      </c>
      <c r="C79" s="37">
        <v>109308.03</v>
      </c>
      <c r="D79" s="37">
        <f t="shared" si="6"/>
        <v>118800</v>
      </c>
      <c r="E79" s="38"/>
      <c r="F79" s="78" t="s">
        <v>101</v>
      </c>
    </row>
    <row r="80" spans="1:7" x14ac:dyDescent="0.3">
      <c r="A80" s="39">
        <f>SUM(A75:A79)</f>
        <v>270070.69</v>
      </c>
      <c r="B80" s="39">
        <f>SUM(B75:B79)</f>
        <v>970158.24</v>
      </c>
      <c r="C80" s="39">
        <f t="shared" ref="C80:E80" si="8">SUM(C75:C79)</f>
        <v>917129.41999999993</v>
      </c>
      <c r="D80" s="39">
        <f t="shared" si="8"/>
        <v>884256.92</v>
      </c>
      <c r="E80" s="39">
        <f t="shared" si="8"/>
        <v>313607.5400000001</v>
      </c>
      <c r="F80" s="40" t="s">
        <v>13</v>
      </c>
      <c r="G80" s="67"/>
    </row>
    <row r="81" spans="1:11" ht="11.25" customHeight="1" x14ac:dyDescent="0.3">
      <c r="A81" s="41"/>
      <c r="B81" s="41"/>
      <c r="C81" s="42"/>
      <c r="D81" s="41"/>
      <c r="E81" s="42"/>
      <c r="F81" s="41"/>
    </row>
    <row r="82" spans="1:11" x14ac:dyDescent="0.3">
      <c r="A82" s="195" t="s">
        <v>78</v>
      </c>
      <c r="B82" s="196"/>
      <c r="C82" s="196"/>
      <c r="D82" s="196"/>
      <c r="E82" s="196"/>
      <c r="F82" s="31"/>
    </row>
    <row r="83" spans="1:11" ht="72" x14ac:dyDescent="0.3">
      <c r="A83" s="34" t="s">
        <v>104</v>
      </c>
      <c r="B83" s="28" t="s">
        <v>105</v>
      </c>
      <c r="C83" s="28" t="s">
        <v>106</v>
      </c>
      <c r="D83" s="34" t="s">
        <v>69</v>
      </c>
      <c r="E83" s="60" t="s">
        <v>107</v>
      </c>
      <c r="F83" s="28" t="s">
        <v>79</v>
      </c>
    </row>
    <row r="84" spans="1:11" ht="24.6" x14ac:dyDescent="0.3">
      <c r="A84" s="38">
        <v>21550.35</v>
      </c>
      <c r="B84" s="38">
        <v>265307.86</v>
      </c>
      <c r="C84" s="38">
        <v>274968.01</v>
      </c>
      <c r="D84" s="38">
        <f>C84</f>
        <v>274968.01</v>
      </c>
      <c r="E84" s="38">
        <f>A84+B84-C84</f>
        <v>11890.199999999953</v>
      </c>
      <c r="F84" s="36" t="s">
        <v>80</v>
      </c>
    </row>
    <row r="85" spans="1:11" ht="36.6" x14ac:dyDescent="0.3">
      <c r="A85" s="38">
        <v>77628.98</v>
      </c>
      <c r="B85" s="38">
        <v>0</v>
      </c>
      <c r="C85" s="38">
        <v>25904.639999999999</v>
      </c>
      <c r="D85" s="38">
        <f t="shared" ref="D85" si="9">C85</f>
        <v>25904.639999999999</v>
      </c>
      <c r="E85" s="38">
        <f t="shared" ref="E85" si="10">A85+B85-C85</f>
        <v>51724.34</v>
      </c>
      <c r="F85" s="36" t="s">
        <v>83</v>
      </c>
    </row>
    <row r="86" spans="1:11" x14ac:dyDescent="0.3">
      <c r="A86" s="39">
        <f>SUM(A84:A85)</f>
        <v>99179.329999999987</v>
      </c>
      <c r="B86" s="39">
        <f t="shared" ref="B86:E86" si="11">SUM(B84:B85)</f>
        <v>265307.86</v>
      </c>
      <c r="C86" s="39">
        <f t="shared" si="11"/>
        <v>300872.65000000002</v>
      </c>
      <c r="D86" s="39">
        <f t="shared" si="11"/>
        <v>300872.65000000002</v>
      </c>
      <c r="E86" s="39">
        <f t="shared" si="11"/>
        <v>63614.53999999995</v>
      </c>
      <c r="F86" s="40" t="s">
        <v>13</v>
      </c>
      <c r="G86" s="67"/>
      <c r="I86" s="71"/>
      <c r="J86" s="71"/>
      <c r="K86" s="71"/>
    </row>
    <row r="87" spans="1:11" s="3" customFormat="1" x14ac:dyDescent="0.3">
      <c r="A87" s="197" t="s">
        <v>84</v>
      </c>
      <c r="B87" s="198"/>
      <c r="C87" s="198"/>
      <c r="D87" s="198"/>
      <c r="E87" s="198"/>
      <c r="F87" s="198"/>
    </row>
    <row r="88" spans="1:11" s="3" customFormat="1" x14ac:dyDescent="0.3">
      <c r="A88" s="198"/>
      <c r="B88" s="198"/>
      <c r="C88" s="198"/>
      <c r="D88" s="198"/>
      <c r="E88" s="198"/>
      <c r="F88" s="198"/>
      <c r="K88" s="72"/>
    </row>
    <row r="89" spans="1:11" s="47" customFormat="1" x14ac:dyDescent="0.3">
      <c r="A89" s="43">
        <v>1</v>
      </c>
      <c r="B89" s="44"/>
      <c r="C89" s="44" t="s">
        <v>89</v>
      </c>
      <c r="D89" s="45">
        <f>D90+D91</f>
        <v>86340.93</v>
      </c>
      <c r="E89" s="46"/>
      <c r="F89" s="46"/>
    </row>
    <row r="90" spans="1:11" s="3" customFormat="1" ht="19.5" customHeight="1" x14ac:dyDescent="0.3">
      <c r="A90" s="79" t="s">
        <v>110</v>
      </c>
      <c r="B90" s="93">
        <v>42217</v>
      </c>
      <c r="C90" s="80" t="s">
        <v>112</v>
      </c>
      <c r="D90" s="89">
        <v>39472.11</v>
      </c>
      <c r="E90" s="90"/>
      <c r="F90" s="90"/>
    </row>
    <row r="91" spans="1:11" x14ac:dyDescent="0.3">
      <c r="A91" s="79" t="s">
        <v>111</v>
      </c>
      <c r="B91" s="93">
        <v>42217</v>
      </c>
      <c r="C91" s="80" t="s">
        <v>112</v>
      </c>
      <c r="D91" s="89">
        <v>46868.82</v>
      </c>
      <c r="E91" s="90"/>
      <c r="F91" s="90"/>
    </row>
    <row r="92" spans="1:11" x14ac:dyDescent="0.3">
      <c r="E92" s="91"/>
      <c r="F92" s="91"/>
    </row>
  </sheetData>
  <mergeCells count="50">
    <mergeCell ref="A66:E66"/>
    <mergeCell ref="A73:F73"/>
    <mergeCell ref="A82:E82"/>
    <mergeCell ref="A87:F88"/>
    <mergeCell ref="A65:F65"/>
    <mergeCell ref="A20:F20"/>
    <mergeCell ref="B21:C21"/>
    <mergeCell ref="A23:F23"/>
    <mergeCell ref="A24:F24"/>
    <mergeCell ref="A25:F25"/>
    <mergeCell ref="A26:E26"/>
    <mergeCell ref="A32:F32"/>
    <mergeCell ref="A42:E42"/>
    <mergeCell ref="A50:F51"/>
    <mergeCell ref="A64:F64"/>
    <mergeCell ref="A57:F57"/>
    <mergeCell ref="C58:D58"/>
    <mergeCell ref="E58:F58"/>
    <mergeCell ref="A59:F59"/>
    <mergeCell ref="A60:F60"/>
    <mergeCell ref="B11:D11"/>
    <mergeCell ref="E11:F11"/>
    <mergeCell ref="A19:F19"/>
    <mergeCell ref="B12:D12"/>
    <mergeCell ref="E12:F12"/>
    <mergeCell ref="B13:D13"/>
    <mergeCell ref="E13:F13"/>
    <mergeCell ref="B14:D14"/>
    <mergeCell ref="E14:F14"/>
    <mergeCell ref="B15:D15"/>
    <mergeCell ref="E15:F15"/>
    <mergeCell ref="A17:F17"/>
    <mergeCell ref="C18:D18"/>
    <mergeCell ref="E18:F18"/>
    <mergeCell ref="A1:F1"/>
    <mergeCell ref="A3:F3"/>
    <mergeCell ref="B4:D4"/>
    <mergeCell ref="E4:F4"/>
    <mergeCell ref="B5:D5"/>
    <mergeCell ref="E5:F5"/>
    <mergeCell ref="B9:D9"/>
    <mergeCell ref="E9:F9"/>
    <mergeCell ref="B10:D10"/>
    <mergeCell ref="B6:D6"/>
    <mergeCell ref="E6:F6"/>
    <mergeCell ref="B7:D7"/>
    <mergeCell ref="E7:F7"/>
    <mergeCell ref="B8:D8"/>
    <mergeCell ref="E8:F8"/>
    <mergeCell ref="E10:F10"/>
  </mergeCells>
  <pageMargins left="0.31496062992125984" right="0.11811023622047245" top="0.74803149606299213" bottom="0.74803149606299213" header="0.31496062992125984" footer="0.31496062992125984"/>
  <pageSetup paperSize="9" scale="91" orientation="portrait" horizontalDpi="180" verticalDpi="180" r:id="rId1"/>
  <rowBreaks count="2" manualBreakCount="2">
    <brk id="22" max="16383" man="1"/>
    <brk id="55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M97"/>
  <sheetViews>
    <sheetView topLeftCell="A43" zoomScaleNormal="100" workbookViewId="0">
      <selection activeCell="E34" sqref="E34:E39"/>
    </sheetView>
  </sheetViews>
  <sheetFormatPr defaultColWidth="9.109375" defaultRowHeight="14.4" x14ac:dyDescent="0.3"/>
  <cols>
    <col min="1" max="1" width="11" style="56" customWidth="1"/>
    <col min="2" max="2" width="13" style="56" customWidth="1"/>
    <col min="3" max="3" width="16" style="63" customWidth="1"/>
    <col min="4" max="4" width="16.5546875" style="63" customWidth="1"/>
    <col min="5" max="5" width="15" style="63" customWidth="1"/>
    <col min="6" max="6" width="21.109375" style="63" customWidth="1"/>
    <col min="7" max="7" width="11.5546875" style="63" bestFit="1" customWidth="1"/>
    <col min="8" max="16384" width="9.109375" style="63"/>
  </cols>
  <sheetData>
    <row r="1" spans="1:9" x14ac:dyDescent="0.3">
      <c r="A1" s="168" t="s">
        <v>31</v>
      </c>
      <c r="B1" s="168"/>
      <c r="C1" s="168"/>
      <c r="D1" s="168"/>
      <c r="E1" s="168"/>
      <c r="F1" s="168"/>
    </row>
    <row r="2" spans="1:9" x14ac:dyDescent="0.3">
      <c r="A2" s="65"/>
      <c r="B2" s="65"/>
      <c r="C2" s="65"/>
      <c r="D2" s="65"/>
      <c r="E2" s="65"/>
      <c r="F2" s="65"/>
    </row>
    <row r="3" spans="1:9" ht="24" customHeight="1" x14ac:dyDescent="0.3">
      <c r="A3" s="169" t="s">
        <v>115</v>
      </c>
      <c r="B3" s="169"/>
      <c r="C3" s="169"/>
      <c r="D3" s="169"/>
      <c r="E3" s="169"/>
      <c r="F3" s="169"/>
    </row>
    <row r="4" spans="1:9" x14ac:dyDescent="0.3">
      <c r="A4" s="21">
        <v>1</v>
      </c>
      <c r="B4" s="170" t="s">
        <v>33</v>
      </c>
      <c r="C4" s="171"/>
      <c r="D4" s="172"/>
      <c r="E4" s="173" t="s">
        <v>34</v>
      </c>
      <c r="F4" s="173"/>
    </row>
    <row r="5" spans="1:9" x14ac:dyDescent="0.3">
      <c r="A5" s="21">
        <v>2</v>
      </c>
      <c r="B5" s="170" t="s">
        <v>35</v>
      </c>
      <c r="C5" s="171"/>
      <c r="D5" s="172"/>
      <c r="E5" s="173">
        <v>9</v>
      </c>
      <c r="F5" s="173"/>
    </row>
    <row r="6" spans="1:9" x14ac:dyDescent="0.3">
      <c r="A6" s="21">
        <v>3</v>
      </c>
      <c r="B6" s="170" t="s">
        <v>36</v>
      </c>
      <c r="C6" s="171"/>
      <c r="D6" s="172"/>
      <c r="E6" s="173">
        <v>169</v>
      </c>
      <c r="F6" s="173"/>
    </row>
    <row r="7" spans="1:9" ht="15" customHeight="1" x14ac:dyDescent="0.3">
      <c r="A7" s="21">
        <v>4</v>
      </c>
      <c r="B7" s="170" t="s">
        <v>37</v>
      </c>
      <c r="C7" s="171"/>
      <c r="D7" s="172"/>
      <c r="E7" s="206">
        <f>D29+D67</f>
        <v>8812.9</v>
      </c>
      <c r="F7" s="206"/>
      <c r="G7" s="102"/>
      <c r="H7" s="102"/>
      <c r="I7" s="102"/>
    </row>
    <row r="8" spans="1:9" ht="15" customHeight="1" x14ac:dyDescent="0.3">
      <c r="A8" s="21">
        <v>5</v>
      </c>
      <c r="B8" s="170" t="s">
        <v>38</v>
      </c>
      <c r="C8" s="171"/>
      <c r="D8" s="172"/>
      <c r="E8" s="173">
        <f>37.8+56.4</f>
        <v>94.199999999999989</v>
      </c>
      <c r="F8" s="173"/>
    </row>
    <row r="9" spans="1:9" ht="15" customHeight="1" x14ac:dyDescent="0.3">
      <c r="A9" s="21">
        <v>6</v>
      </c>
      <c r="B9" s="170" t="s">
        <v>39</v>
      </c>
      <c r="C9" s="171"/>
      <c r="D9" s="172"/>
      <c r="E9" s="173">
        <v>1202</v>
      </c>
      <c r="F9" s="173"/>
    </row>
    <row r="10" spans="1:9" ht="57" customHeight="1" x14ac:dyDescent="0.3">
      <c r="A10" s="21">
        <v>7</v>
      </c>
      <c r="B10" s="174" t="s">
        <v>40</v>
      </c>
      <c r="C10" s="175"/>
      <c r="D10" s="176"/>
      <c r="E10" s="177" t="s">
        <v>41</v>
      </c>
      <c r="F10" s="178"/>
    </row>
    <row r="11" spans="1:9" x14ac:dyDescent="0.3">
      <c r="A11" s="21">
        <v>8</v>
      </c>
      <c r="B11" s="170" t="s">
        <v>42</v>
      </c>
      <c r="C11" s="171"/>
      <c r="D11" s="172"/>
      <c r="E11" s="170" t="s">
        <v>43</v>
      </c>
      <c r="F11" s="172"/>
    </row>
    <row r="12" spans="1:9" x14ac:dyDescent="0.3">
      <c r="A12" s="21">
        <v>9</v>
      </c>
      <c r="B12" s="170" t="s">
        <v>44</v>
      </c>
      <c r="C12" s="171"/>
      <c r="D12" s="172"/>
      <c r="E12" s="180" t="s">
        <v>43</v>
      </c>
      <c r="F12" s="180"/>
    </row>
    <row r="13" spans="1:9" ht="45" customHeight="1" x14ac:dyDescent="0.3">
      <c r="A13" s="21">
        <v>10</v>
      </c>
      <c r="B13" s="170" t="s">
        <v>45</v>
      </c>
      <c r="C13" s="171"/>
      <c r="D13" s="172"/>
      <c r="E13" s="180" t="s">
        <v>43</v>
      </c>
      <c r="F13" s="180"/>
    </row>
    <row r="14" spans="1:9" ht="30.75" customHeight="1" x14ac:dyDescent="0.3">
      <c r="A14" s="21">
        <v>11</v>
      </c>
      <c r="B14" s="170" t="s">
        <v>46</v>
      </c>
      <c r="C14" s="171"/>
      <c r="D14" s="172"/>
      <c r="E14" s="174" t="s">
        <v>47</v>
      </c>
      <c r="F14" s="176"/>
    </row>
    <row r="15" spans="1:9" ht="102.75" customHeight="1" x14ac:dyDescent="0.3">
      <c r="A15" s="21">
        <v>12</v>
      </c>
      <c r="B15" s="174" t="s">
        <v>48</v>
      </c>
      <c r="C15" s="175"/>
      <c r="D15" s="176"/>
      <c r="E15" s="181" t="s">
        <v>49</v>
      </c>
      <c r="F15" s="182"/>
    </row>
    <row r="16" spans="1:9" ht="18" customHeight="1" x14ac:dyDescent="0.3">
      <c r="A16" s="22"/>
      <c r="B16" s="22"/>
      <c r="C16" s="22"/>
      <c r="D16" s="23"/>
      <c r="E16" s="23"/>
      <c r="F16" s="62"/>
    </row>
    <row r="17" spans="1:6" ht="14.25" customHeight="1" x14ac:dyDescent="0.3">
      <c r="A17" s="169" t="s">
        <v>50</v>
      </c>
      <c r="B17" s="169"/>
      <c r="C17" s="169"/>
      <c r="D17" s="169"/>
      <c r="E17" s="169"/>
      <c r="F17" s="169"/>
    </row>
    <row r="18" spans="1:6" ht="42.75" customHeight="1" x14ac:dyDescent="0.3">
      <c r="A18" s="21">
        <v>1</v>
      </c>
      <c r="B18" s="57"/>
      <c r="C18" s="201" t="s">
        <v>51</v>
      </c>
      <c r="D18" s="202"/>
      <c r="E18" s="207" t="s">
        <v>117</v>
      </c>
      <c r="F18" s="208"/>
    </row>
    <row r="19" spans="1:6" ht="27" customHeight="1" x14ac:dyDescent="0.3">
      <c r="A19" s="110"/>
      <c r="B19" s="110"/>
      <c r="C19" s="110"/>
      <c r="D19" s="110"/>
      <c r="E19" s="110"/>
      <c r="F19" s="110"/>
    </row>
    <row r="20" spans="1:6" ht="12.75" customHeight="1" x14ac:dyDescent="0.3">
      <c r="A20" s="185" t="s">
        <v>102</v>
      </c>
      <c r="B20" s="185"/>
      <c r="C20" s="185"/>
      <c r="D20" s="185"/>
      <c r="E20" s="185"/>
      <c r="F20" s="185"/>
    </row>
    <row r="21" spans="1:6" x14ac:dyDescent="0.3">
      <c r="A21" s="26">
        <v>1</v>
      </c>
      <c r="B21" s="204"/>
      <c r="C21" s="205"/>
      <c r="D21" s="58"/>
      <c r="E21" s="66"/>
      <c r="F21" s="29"/>
    </row>
    <row r="22" spans="1:6" x14ac:dyDescent="0.3">
      <c r="A22" s="22"/>
      <c r="B22" s="22"/>
      <c r="C22" s="62"/>
      <c r="D22" s="62"/>
      <c r="E22" s="62"/>
      <c r="F22" s="62"/>
    </row>
    <row r="23" spans="1:6" ht="15" customHeight="1" x14ac:dyDescent="0.3">
      <c r="A23" s="188" t="s">
        <v>57</v>
      </c>
      <c r="B23" s="189"/>
      <c r="C23" s="189"/>
      <c r="D23" s="189"/>
      <c r="E23" s="189"/>
      <c r="F23" s="189"/>
    </row>
    <row r="24" spans="1:6" s="3" customFormat="1" ht="15" customHeight="1" x14ac:dyDescent="0.3">
      <c r="A24" s="190" t="s">
        <v>58</v>
      </c>
      <c r="B24" s="189"/>
      <c r="C24" s="189"/>
      <c r="D24" s="189"/>
      <c r="E24" s="189"/>
      <c r="F24" s="189"/>
    </row>
    <row r="25" spans="1:6" s="3" customFormat="1" ht="27" customHeight="1" x14ac:dyDescent="0.3">
      <c r="A25" s="183" t="s">
        <v>103</v>
      </c>
      <c r="B25" s="191"/>
      <c r="C25" s="191"/>
      <c r="D25" s="191"/>
      <c r="E25" s="191"/>
      <c r="F25" s="191"/>
    </row>
    <row r="26" spans="1:6" s="3" customFormat="1" x14ac:dyDescent="0.3">
      <c r="A26" s="192" t="s">
        <v>60</v>
      </c>
      <c r="B26" s="189"/>
      <c r="C26" s="189"/>
      <c r="D26" s="189"/>
      <c r="E26" s="189"/>
      <c r="F26" s="61"/>
    </row>
    <row r="27" spans="1:6" s="3" customFormat="1" x14ac:dyDescent="0.3">
      <c r="A27" s="31"/>
      <c r="B27" s="32"/>
      <c r="C27" s="61"/>
      <c r="D27" s="33"/>
      <c r="E27" s="61"/>
      <c r="F27" s="61"/>
    </row>
    <row r="28" spans="1:6" x14ac:dyDescent="0.3">
      <c r="A28" s="31" t="s">
        <v>61</v>
      </c>
      <c r="B28" s="32"/>
      <c r="C28" s="61"/>
      <c r="D28" s="33"/>
      <c r="E28" s="61"/>
      <c r="F28" s="61"/>
    </row>
    <row r="29" spans="1:6" x14ac:dyDescent="0.3">
      <c r="A29" s="31" t="s">
        <v>116</v>
      </c>
      <c r="B29" s="32"/>
      <c r="C29" s="61"/>
      <c r="D29" s="107">
        <v>3936.2</v>
      </c>
      <c r="E29" s="61"/>
      <c r="F29" s="61"/>
    </row>
    <row r="30" spans="1:6" x14ac:dyDescent="0.3">
      <c r="A30" s="31" t="s">
        <v>63</v>
      </c>
      <c r="B30" s="32"/>
      <c r="C30" s="61"/>
      <c r="D30" s="33"/>
      <c r="E30" s="61"/>
      <c r="F30" s="61"/>
    </row>
    <row r="31" spans="1:6" x14ac:dyDescent="0.3">
      <c r="A31" s="31" t="s">
        <v>64</v>
      </c>
      <c r="B31" s="32"/>
      <c r="C31" s="61"/>
      <c r="D31" s="33"/>
      <c r="E31" s="61"/>
      <c r="F31" s="61"/>
    </row>
    <row r="32" spans="1:6" ht="27.75" customHeight="1" x14ac:dyDescent="0.3">
      <c r="A32" s="193" t="s">
        <v>65</v>
      </c>
      <c r="B32" s="194"/>
      <c r="C32" s="194"/>
      <c r="D32" s="194"/>
      <c r="E32" s="194"/>
      <c r="F32" s="194"/>
    </row>
    <row r="33" spans="1:13" ht="72" x14ac:dyDescent="0.3">
      <c r="A33" s="34" t="s">
        <v>104</v>
      </c>
      <c r="B33" s="64" t="s">
        <v>105</v>
      </c>
      <c r="C33" s="64" t="s">
        <v>106</v>
      </c>
      <c r="D33" s="34" t="s">
        <v>69</v>
      </c>
      <c r="E33" s="60" t="s">
        <v>107</v>
      </c>
      <c r="F33" s="64" t="s">
        <v>71</v>
      </c>
    </row>
    <row r="34" spans="1:13" ht="24.6" x14ac:dyDescent="0.3">
      <c r="A34" s="38">
        <v>54495.049999999988</v>
      </c>
      <c r="B34" s="37">
        <f>' Г Поп к3 1 2015'!AN4+' Г Поп к3 1 2015'!AN9</f>
        <v>414418.6399999999</v>
      </c>
      <c r="C34" s="37">
        <f>' Г Поп к3 1 2015'!AO4+' Г Поп к3 1 2015'!AO9</f>
        <v>445503.2</v>
      </c>
      <c r="D34" s="37">
        <f>B34</f>
        <v>414418.6399999999</v>
      </c>
      <c r="E34" s="38">
        <f>A34+B34-C34</f>
        <v>23410.489999999874</v>
      </c>
      <c r="F34" s="36" t="s">
        <v>72</v>
      </c>
    </row>
    <row r="35" spans="1:13" x14ac:dyDescent="0.3">
      <c r="A35" s="38">
        <v>21177.489999999991</v>
      </c>
      <c r="B35" s="37">
        <f>' Г Поп к3 1 2015'!AN7</f>
        <v>148178.41</v>
      </c>
      <c r="C35" s="37">
        <f>' Г Поп к3 1 2015'!AO7</f>
        <v>157298.26999999999</v>
      </c>
      <c r="D35" s="37">
        <f t="shared" ref="D35:D39" si="0">B35</f>
        <v>148178.41</v>
      </c>
      <c r="E35" s="38">
        <f t="shared" ref="E35:E39" si="1">A35+B35-C35</f>
        <v>12057.630000000005</v>
      </c>
      <c r="F35" s="36" t="s">
        <v>73</v>
      </c>
    </row>
    <row r="36" spans="1:13" ht="60.75" customHeight="1" x14ac:dyDescent="0.3">
      <c r="A36" s="38">
        <v>15386.420000000013</v>
      </c>
      <c r="B36" s="37">
        <f>' Г Поп к3 1 2015'!AN11</f>
        <v>139656.12000000002</v>
      </c>
      <c r="C36" s="37">
        <f>' Г Поп к3 1 2015'!AO11</f>
        <v>155036.66</v>
      </c>
      <c r="D36" s="37">
        <f t="shared" si="0"/>
        <v>139656.12000000002</v>
      </c>
      <c r="E36" s="38">
        <f t="shared" si="1"/>
        <v>5.8800000000337604</v>
      </c>
      <c r="F36" s="36" t="s">
        <v>74</v>
      </c>
    </row>
    <row r="37" spans="1:13" ht="43.5" customHeight="1" x14ac:dyDescent="0.3">
      <c r="A37" s="38">
        <v>15986.249999999985</v>
      </c>
      <c r="B37" s="37">
        <f>' Г Поп к3 1 2015'!AN5</f>
        <v>113835.12000000002</v>
      </c>
      <c r="C37" s="37">
        <f>' Г Поп к3 1 2015'!AO5+M38</f>
        <v>129460.08</v>
      </c>
      <c r="D37" s="96"/>
      <c r="E37" s="38">
        <f t="shared" si="1"/>
        <v>361.29000000000815</v>
      </c>
      <c r="F37" s="36" t="s">
        <v>123</v>
      </c>
      <c r="I37" s="108" t="s">
        <v>118</v>
      </c>
      <c r="J37" s="108" t="s">
        <v>119</v>
      </c>
      <c r="K37" s="108" t="s">
        <v>120</v>
      </c>
      <c r="L37" s="108" t="s">
        <v>121</v>
      </c>
      <c r="M37" s="108" t="s">
        <v>122</v>
      </c>
    </row>
    <row r="38" spans="1:13" ht="24.6" x14ac:dyDescent="0.3">
      <c r="A38" s="38">
        <v>7432.5800000000008</v>
      </c>
      <c r="B38" s="37">
        <f>' Г Поп к3 1 2015'!AN6</f>
        <v>0</v>
      </c>
      <c r="C38" s="37">
        <f>' Г Поп к3 1 2015'!AO6</f>
        <v>357.73000000000008</v>
      </c>
      <c r="D38" s="96"/>
      <c r="E38" s="38">
        <f t="shared" si="1"/>
        <v>7074.85</v>
      </c>
      <c r="F38" s="36" t="s">
        <v>76</v>
      </c>
      <c r="I38" s="108">
        <v>3000</v>
      </c>
      <c r="J38" s="108">
        <v>1350</v>
      </c>
      <c r="K38" s="108">
        <v>2400</v>
      </c>
      <c r="L38" s="108">
        <v>1500</v>
      </c>
      <c r="M38" s="109">
        <f>I38+J38+K38+L38</f>
        <v>8250</v>
      </c>
    </row>
    <row r="39" spans="1:13" ht="26.25" customHeight="1" x14ac:dyDescent="0.3">
      <c r="A39" s="38"/>
      <c r="B39" s="37">
        <f>' Г Поп к3 1 2015'!AN10</f>
        <v>86400</v>
      </c>
      <c r="C39" s="37">
        <f>' Г Поп к3 1 2015'!AO10</f>
        <v>87133.62</v>
      </c>
      <c r="D39" s="37">
        <f t="shared" si="0"/>
        <v>86400</v>
      </c>
      <c r="E39" s="38">
        <f t="shared" si="1"/>
        <v>-733.61999999999534</v>
      </c>
      <c r="F39" s="78" t="s">
        <v>101</v>
      </c>
      <c r="I39" s="111">
        <v>3000</v>
      </c>
      <c r="J39" s="111"/>
      <c r="K39" s="111"/>
      <c r="L39" s="111">
        <v>1500</v>
      </c>
      <c r="M39" s="109">
        <f>I39+J39+K39+L39</f>
        <v>4500</v>
      </c>
    </row>
    <row r="40" spans="1:13" x14ac:dyDescent="0.3">
      <c r="A40" s="39">
        <f>SUM(A34:A39)</f>
        <v>114477.78999999998</v>
      </c>
      <c r="B40" s="39">
        <f t="shared" ref="B40:E40" si="2">SUM(B34:B39)</f>
        <v>902488.28999999992</v>
      </c>
      <c r="C40" s="39">
        <f t="shared" si="2"/>
        <v>974789.55999999994</v>
      </c>
      <c r="D40" s="39">
        <f t="shared" si="2"/>
        <v>788653.16999999993</v>
      </c>
      <c r="E40" s="39">
        <f t="shared" si="2"/>
        <v>42176.519999999924</v>
      </c>
      <c r="F40" s="40" t="s">
        <v>77</v>
      </c>
      <c r="G40" s="67"/>
    </row>
    <row r="41" spans="1:13" x14ac:dyDescent="0.3">
      <c r="A41" s="41"/>
      <c r="B41" s="41"/>
      <c r="C41" s="42"/>
      <c r="D41" s="41"/>
      <c r="E41" s="42"/>
      <c r="F41" s="41"/>
      <c r="M41" s="63">
        <f>M38+M39</f>
        <v>12750</v>
      </c>
    </row>
    <row r="42" spans="1:13" x14ac:dyDescent="0.3">
      <c r="A42" s="195" t="s">
        <v>78</v>
      </c>
      <c r="B42" s="196"/>
      <c r="C42" s="196"/>
      <c r="D42" s="196"/>
      <c r="E42" s="196"/>
      <c r="F42" s="31"/>
    </row>
    <row r="43" spans="1:13" ht="72" x14ac:dyDescent="0.3">
      <c r="A43" s="34" t="s">
        <v>104</v>
      </c>
      <c r="B43" s="64" t="s">
        <v>105</v>
      </c>
      <c r="C43" s="64" t="s">
        <v>106</v>
      </c>
      <c r="D43" s="34" t="s">
        <v>69</v>
      </c>
      <c r="E43" s="60" t="s">
        <v>107</v>
      </c>
      <c r="F43" s="64" t="s">
        <v>79</v>
      </c>
    </row>
    <row r="44" spans="1:13" ht="24.6" x14ac:dyDescent="0.3">
      <c r="A44" s="38">
        <v>12331.580000000133</v>
      </c>
      <c r="B44" s="38">
        <f>' Г Поп к3 1 2015'!AN15</f>
        <v>262185.34000000003</v>
      </c>
      <c r="C44" s="38">
        <f>' Г Поп к3 1 2015'!AO15</f>
        <v>285649.49</v>
      </c>
      <c r="D44" s="38">
        <f>C44</f>
        <v>285649.49</v>
      </c>
      <c r="E44" s="38">
        <f t="shared" ref="E44:E47" si="3">A44+B44-C44</f>
        <v>-11132.569999999832</v>
      </c>
      <c r="F44" s="36" t="s">
        <v>80</v>
      </c>
    </row>
    <row r="45" spans="1:13" x14ac:dyDescent="0.3">
      <c r="A45" s="38">
        <v>81609.620000000054</v>
      </c>
      <c r="B45" s="38">
        <f>' Г Поп к3 1 2015'!AN14</f>
        <v>487635.00000000006</v>
      </c>
      <c r="C45" s="38">
        <f>' Г Поп к3 1 2015'!AO14</f>
        <v>503469.72</v>
      </c>
      <c r="D45" s="38">
        <f t="shared" ref="D45:D47" si="4">C45</f>
        <v>503469.72</v>
      </c>
      <c r="E45" s="38">
        <f t="shared" si="3"/>
        <v>65774.90000000014</v>
      </c>
      <c r="F45" s="36" t="s">
        <v>81</v>
      </c>
    </row>
    <row r="46" spans="1:13" x14ac:dyDescent="0.3">
      <c r="A46" s="38">
        <v>208338.12000000011</v>
      </c>
      <c r="B46" s="38">
        <f>' Г Поп к3 1 2015'!AN13</f>
        <v>1292945.75</v>
      </c>
      <c r="C46" s="38">
        <f>' Г Поп к3 1 2015'!AO13</f>
        <v>1284258.7999999998</v>
      </c>
      <c r="D46" s="38">
        <f>C46</f>
        <v>1284258.7999999998</v>
      </c>
      <c r="E46" s="38">
        <f t="shared" si="3"/>
        <v>217025.0700000003</v>
      </c>
      <c r="F46" s="36" t="s">
        <v>82</v>
      </c>
    </row>
    <row r="47" spans="1:13" ht="43.5" customHeight="1" x14ac:dyDescent="0.3">
      <c r="A47" s="38">
        <v>473.2400000000016</v>
      </c>
      <c r="B47" s="38">
        <f>' Г Поп к3 1 2015'!AN8</f>
        <v>0</v>
      </c>
      <c r="C47" s="38">
        <f>' Г Поп к3 1 2015'!AO8</f>
        <v>2488.0400000000004</v>
      </c>
      <c r="D47" s="38">
        <f t="shared" si="4"/>
        <v>2488.0400000000004</v>
      </c>
      <c r="E47" s="38">
        <f t="shared" si="3"/>
        <v>-2014.7999999999988</v>
      </c>
      <c r="F47" s="36" t="s">
        <v>83</v>
      </c>
    </row>
    <row r="48" spans="1:13" x14ac:dyDescent="0.3">
      <c r="A48" s="39">
        <f>SUM(A44:A47)</f>
        <v>302752.56000000029</v>
      </c>
      <c r="B48" s="39">
        <f t="shared" ref="B48:E48" si="5">SUM(B44:B47)</f>
        <v>2042766.09</v>
      </c>
      <c r="C48" s="39">
        <f t="shared" si="5"/>
        <v>2075866.0499999998</v>
      </c>
      <c r="D48" s="39">
        <f t="shared" si="5"/>
        <v>2075866.0499999998</v>
      </c>
      <c r="E48" s="39">
        <f t="shared" si="5"/>
        <v>269652.60000000062</v>
      </c>
      <c r="F48" s="40" t="s">
        <v>13</v>
      </c>
      <c r="G48" s="67"/>
    </row>
    <row r="49" spans="1:6" ht="8.25" customHeight="1" x14ac:dyDescent="0.3">
      <c r="A49" s="22"/>
      <c r="B49" s="22"/>
      <c r="C49" s="62"/>
      <c r="D49" s="62"/>
      <c r="E49" s="62"/>
      <c r="F49" s="62"/>
    </row>
    <row r="50" spans="1:6" s="3" customFormat="1" x14ac:dyDescent="0.3">
      <c r="A50" s="197" t="s">
        <v>84</v>
      </c>
      <c r="B50" s="198"/>
      <c r="C50" s="198"/>
      <c r="D50" s="198"/>
      <c r="E50" s="198"/>
      <c r="F50" s="198"/>
    </row>
    <row r="51" spans="1:6" s="3" customFormat="1" x14ac:dyDescent="0.3">
      <c r="A51" s="198"/>
      <c r="B51" s="198"/>
      <c r="C51" s="198"/>
      <c r="D51" s="198"/>
      <c r="E51" s="198"/>
      <c r="F51" s="198"/>
    </row>
    <row r="52" spans="1:6" s="3" customFormat="1" ht="48" x14ac:dyDescent="0.3">
      <c r="A52" s="34" t="s">
        <v>85</v>
      </c>
      <c r="B52" s="34" t="s">
        <v>86</v>
      </c>
      <c r="C52" s="34" t="s">
        <v>87</v>
      </c>
      <c r="D52" s="35" t="s">
        <v>88</v>
      </c>
      <c r="E52" s="31"/>
      <c r="F52" s="31"/>
    </row>
    <row r="53" spans="1:6" s="47" customFormat="1" x14ac:dyDescent="0.3">
      <c r="A53" s="43">
        <v>1</v>
      </c>
      <c r="B53" s="44"/>
      <c r="C53" s="44" t="s">
        <v>89</v>
      </c>
      <c r="D53" s="45"/>
      <c r="E53" s="46"/>
      <c r="F53" s="46"/>
    </row>
    <row r="54" spans="1:6" s="3" customFormat="1" x14ac:dyDescent="0.3">
      <c r="A54" s="48" t="s">
        <v>90</v>
      </c>
      <c r="B54" s="49"/>
      <c r="C54" s="34"/>
      <c r="D54" s="50"/>
      <c r="E54" s="31"/>
      <c r="F54" s="31"/>
    </row>
    <row r="55" spans="1:6" ht="5.25" customHeight="1" x14ac:dyDescent="0.3">
      <c r="A55" s="22"/>
      <c r="B55" s="22"/>
      <c r="C55" s="62"/>
      <c r="D55" s="62"/>
      <c r="E55" s="62"/>
      <c r="F55" s="62"/>
    </row>
    <row r="56" spans="1:6" s="99" customFormat="1" ht="31.5" customHeight="1" x14ac:dyDescent="0.3">
      <c r="A56" s="97"/>
      <c r="B56" s="97"/>
      <c r="C56" s="98"/>
      <c r="D56" s="98"/>
      <c r="E56" s="98"/>
      <c r="F56" s="98"/>
    </row>
    <row r="57" spans="1:6" s="94" customFormat="1" ht="12.75" customHeight="1" x14ac:dyDescent="0.3">
      <c r="A57" s="185" t="s">
        <v>102</v>
      </c>
      <c r="B57" s="185"/>
      <c r="C57" s="185"/>
      <c r="D57" s="185"/>
      <c r="E57" s="185"/>
      <c r="F57" s="185"/>
    </row>
    <row r="58" spans="1:6" s="94" customFormat="1" x14ac:dyDescent="0.3">
      <c r="A58" s="26">
        <v>1</v>
      </c>
      <c r="B58" s="88"/>
      <c r="C58" s="92" t="s">
        <v>112</v>
      </c>
      <c r="D58" s="92" t="s">
        <v>113</v>
      </c>
      <c r="E58" s="95"/>
      <c r="F58" s="29"/>
    </row>
    <row r="59" spans="1:6" s="94" customFormat="1" x14ac:dyDescent="0.3">
      <c r="A59" s="26">
        <v>2</v>
      </c>
      <c r="B59" s="88"/>
      <c r="C59" s="92" t="s">
        <v>112</v>
      </c>
      <c r="D59" s="92" t="s">
        <v>113</v>
      </c>
      <c r="E59" s="95"/>
      <c r="F59" s="29"/>
    </row>
    <row r="60" spans="1:6" s="102" customFormat="1" ht="31.5" customHeight="1" x14ac:dyDescent="0.3">
      <c r="A60" s="100"/>
      <c r="B60" s="100"/>
      <c r="C60" s="101"/>
      <c r="D60" s="101"/>
      <c r="E60" s="101"/>
      <c r="F60" s="101"/>
    </row>
    <row r="61" spans="1:6" ht="15" customHeight="1" x14ac:dyDescent="0.3">
      <c r="A61" s="188" t="s">
        <v>57</v>
      </c>
      <c r="B61" s="184"/>
      <c r="C61" s="184"/>
      <c r="D61" s="184"/>
      <c r="E61" s="184"/>
      <c r="F61" s="184"/>
    </row>
    <row r="62" spans="1:6" ht="15" customHeight="1" x14ac:dyDescent="0.3">
      <c r="A62" s="190" t="s">
        <v>58</v>
      </c>
      <c r="B62" s="184"/>
      <c r="C62" s="184"/>
      <c r="D62" s="184"/>
      <c r="E62" s="184"/>
      <c r="F62" s="184"/>
    </row>
    <row r="63" spans="1:6" ht="24.75" customHeight="1" x14ac:dyDescent="0.3">
      <c r="A63" s="183" t="s">
        <v>108</v>
      </c>
      <c r="B63" s="184"/>
      <c r="C63" s="184"/>
      <c r="D63" s="184"/>
      <c r="E63" s="184"/>
      <c r="F63" s="184"/>
    </row>
    <row r="64" spans="1:6" x14ac:dyDescent="0.3">
      <c r="A64" s="192" t="s">
        <v>60</v>
      </c>
      <c r="B64" s="184"/>
      <c r="C64" s="184"/>
      <c r="D64" s="184"/>
      <c r="E64" s="184"/>
      <c r="F64" s="61"/>
    </row>
    <row r="65" spans="1:7" x14ac:dyDescent="0.3">
      <c r="A65" s="31"/>
      <c r="B65" s="32"/>
      <c r="C65" s="61"/>
      <c r="D65" s="33"/>
      <c r="E65" s="61"/>
      <c r="F65" s="61"/>
    </row>
    <row r="66" spans="1:7" x14ac:dyDescent="0.3">
      <c r="A66" s="31" t="s">
        <v>109</v>
      </c>
      <c r="B66" s="32"/>
      <c r="C66" s="61"/>
      <c r="D66" s="33"/>
      <c r="E66" s="61"/>
      <c r="F66" s="61"/>
    </row>
    <row r="67" spans="1:7" x14ac:dyDescent="0.3">
      <c r="A67" s="31" t="s">
        <v>95</v>
      </c>
      <c r="B67" s="32"/>
      <c r="C67" s="61"/>
      <c r="D67" s="107">
        <v>4876.7</v>
      </c>
      <c r="E67" s="61"/>
      <c r="F67" s="61"/>
    </row>
    <row r="68" spans="1:7" x14ac:dyDescent="0.3">
      <c r="A68" s="31" t="s">
        <v>96</v>
      </c>
      <c r="B68" s="32"/>
      <c r="C68" s="61"/>
      <c r="D68" s="33"/>
      <c r="E68" s="61"/>
      <c r="F68" s="61"/>
    </row>
    <row r="69" spans="1:7" x14ac:dyDescent="0.3">
      <c r="A69" s="31" t="s">
        <v>97</v>
      </c>
      <c r="B69" s="32"/>
      <c r="C69" s="61"/>
      <c r="D69" s="33"/>
      <c r="E69" s="61"/>
      <c r="F69" s="61"/>
    </row>
    <row r="70" spans="1:7" x14ac:dyDescent="0.3">
      <c r="A70" s="31"/>
      <c r="B70" s="32"/>
      <c r="C70" s="61"/>
      <c r="D70" s="33"/>
      <c r="E70" s="61"/>
      <c r="F70" s="61"/>
    </row>
    <row r="71" spans="1:7" ht="22.5" customHeight="1" x14ac:dyDescent="0.3">
      <c r="A71" s="193" t="s">
        <v>65</v>
      </c>
      <c r="B71" s="194"/>
      <c r="C71" s="194"/>
      <c r="D71" s="194"/>
      <c r="E71" s="194"/>
      <c r="F71" s="194"/>
    </row>
    <row r="72" spans="1:7" ht="72" x14ac:dyDescent="0.3">
      <c r="A72" s="34" t="s">
        <v>104</v>
      </c>
      <c r="B72" s="64" t="s">
        <v>105</v>
      </c>
      <c r="C72" s="64" t="s">
        <v>106</v>
      </c>
      <c r="D72" s="34" t="s">
        <v>69</v>
      </c>
      <c r="E72" s="60" t="s">
        <v>107</v>
      </c>
      <c r="F72" s="64" t="s">
        <v>71</v>
      </c>
    </row>
    <row r="73" spans="1:7" ht="24.6" x14ac:dyDescent="0.3">
      <c r="A73" s="37">
        <v>139465.5</v>
      </c>
      <c r="B73" s="37" t="e">
        <f>#REF!+#REF!</f>
        <v>#REF!</v>
      </c>
      <c r="C73" s="37" t="e">
        <f>#REF!+#REF!</f>
        <v>#REF!</v>
      </c>
      <c r="D73" s="37" t="e">
        <f>B73</f>
        <v>#REF!</v>
      </c>
      <c r="E73" s="38" t="e">
        <f>A73+B73-C73</f>
        <v>#REF!</v>
      </c>
      <c r="F73" s="36" t="s">
        <v>98</v>
      </c>
    </row>
    <row r="74" spans="1:7" x14ac:dyDescent="0.3">
      <c r="A74" s="37">
        <v>32867.699999999997</v>
      </c>
      <c r="B74" s="37" t="e">
        <f>#REF!</f>
        <v>#REF!</v>
      </c>
      <c r="C74" s="37" t="e">
        <f>#REF!</f>
        <v>#REF!</v>
      </c>
      <c r="D74" s="37" t="e">
        <f t="shared" ref="D74:D77" si="6">B74</f>
        <v>#REF!</v>
      </c>
      <c r="E74" s="38" t="e">
        <f t="shared" ref="E74:E76" si="7">A74+B74-C74</f>
        <v>#REF!</v>
      </c>
      <c r="F74" s="36" t="s">
        <v>73</v>
      </c>
    </row>
    <row r="75" spans="1:7" ht="48.6" x14ac:dyDescent="0.3">
      <c r="A75" s="37">
        <v>57272.25</v>
      </c>
      <c r="B75" s="37" t="e">
        <f>#REF!</f>
        <v>#REF!</v>
      </c>
      <c r="C75" s="37" t="e">
        <f>#REF!</f>
        <v>#REF!</v>
      </c>
      <c r="D75" s="37" t="e">
        <f t="shared" si="6"/>
        <v>#REF!</v>
      </c>
      <c r="E75" s="38" t="e">
        <f t="shared" si="7"/>
        <v>#REF!</v>
      </c>
      <c r="F75" s="36" t="s">
        <v>74</v>
      </c>
    </row>
    <row r="76" spans="1:7" ht="36.6" x14ac:dyDescent="0.3">
      <c r="A76" s="37">
        <v>40465.24</v>
      </c>
      <c r="B76" s="37" t="e">
        <f>#REF!</f>
        <v>#REF!</v>
      </c>
      <c r="C76" s="37" t="e">
        <f>#REF!+M39</f>
        <v>#REF!</v>
      </c>
      <c r="D76" s="96"/>
      <c r="E76" s="38" t="e">
        <f t="shared" si="7"/>
        <v>#REF!</v>
      </c>
      <c r="F76" s="36" t="s">
        <v>123</v>
      </c>
    </row>
    <row r="77" spans="1:7" ht="24.6" x14ac:dyDescent="0.3">
      <c r="A77" s="37"/>
      <c r="B77" s="37" t="e">
        <f>#REF!</f>
        <v>#REF!</v>
      </c>
      <c r="C77" s="37" t="e">
        <f>#REF!</f>
        <v>#REF!</v>
      </c>
      <c r="D77" s="37" t="e">
        <f t="shared" si="6"/>
        <v>#REF!</v>
      </c>
      <c r="E77" s="38"/>
      <c r="F77" s="78" t="s">
        <v>101</v>
      </c>
    </row>
    <row r="78" spans="1:7" x14ac:dyDescent="0.3">
      <c r="A78" s="39">
        <f>SUM(A73:A77)</f>
        <v>270070.69</v>
      </c>
      <c r="B78" s="39" t="e">
        <f t="shared" ref="B78:E78" si="8">SUM(B73:B77)</f>
        <v>#REF!</v>
      </c>
      <c r="C78" s="39" t="e">
        <f t="shared" si="8"/>
        <v>#REF!</v>
      </c>
      <c r="D78" s="39" t="e">
        <f t="shared" si="8"/>
        <v>#REF!</v>
      </c>
      <c r="E78" s="39" t="e">
        <f t="shared" si="8"/>
        <v>#REF!</v>
      </c>
      <c r="F78" s="40" t="s">
        <v>13</v>
      </c>
      <c r="G78" s="67" t="e">
        <f>C78/B78</f>
        <v>#REF!</v>
      </c>
    </row>
    <row r="79" spans="1:7" ht="11.25" customHeight="1" x14ac:dyDescent="0.3">
      <c r="A79" s="41"/>
      <c r="B79" s="41"/>
      <c r="C79" s="42"/>
      <c r="D79" s="41"/>
      <c r="E79" s="42"/>
      <c r="F79" s="41"/>
    </row>
    <row r="80" spans="1:7" x14ac:dyDescent="0.3">
      <c r="A80" s="195" t="s">
        <v>78</v>
      </c>
      <c r="B80" s="196"/>
      <c r="C80" s="196"/>
      <c r="D80" s="196"/>
      <c r="E80" s="196"/>
      <c r="F80" s="31"/>
    </row>
    <row r="81" spans="1:7" ht="72" x14ac:dyDescent="0.3">
      <c r="A81" s="34" t="s">
        <v>104</v>
      </c>
      <c r="B81" s="64" t="s">
        <v>105</v>
      </c>
      <c r="C81" s="64" t="s">
        <v>106</v>
      </c>
      <c r="D81" s="34" t="s">
        <v>69</v>
      </c>
      <c r="E81" s="60" t="s">
        <v>107</v>
      </c>
      <c r="F81" s="64" t="s">
        <v>79</v>
      </c>
    </row>
    <row r="82" spans="1:7" ht="24.6" x14ac:dyDescent="0.3">
      <c r="A82" s="38">
        <v>21550.35</v>
      </c>
      <c r="B82" s="38">
        <f>15735.39+21996.53+14479.35+12560.4+28470.24+18421.92+17724.12+30433.32+25124.76+20870.64+23706.72+19707.12</f>
        <v>249230.50999999998</v>
      </c>
      <c r="C82" s="38">
        <f>13246.09+16835.11+18515.74+14864.24+22842.69+18668.7+18586.17+25124.76+25267.08+19143.63+18499.89+16516.55</f>
        <v>228110.65000000002</v>
      </c>
      <c r="D82" s="38">
        <f>C82</f>
        <v>228110.65000000002</v>
      </c>
      <c r="E82" s="38">
        <f>A82+B82-C82</f>
        <v>42670.209999999963</v>
      </c>
      <c r="F82" s="36" t="s">
        <v>80</v>
      </c>
    </row>
    <row r="83" spans="1:7" ht="36.6" x14ac:dyDescent="0.3">
      <c r="A83" s="38">
        <v>77628.98</v>
      </c>
      <c r="B83" s="38">
        <f>36096.84+43527.51+6563.74</f>
        <v>86188.090000000011</v>
      </c>
      <c r="C83" s="38">
        <f>33691.85+34597.09+17011.29+26230.04+3044.43+1202.04+5810.93+13456.6+82.89+414.05+4.1+2035.58</f>
        <v>137580.89000000001</v>
      </c>
      <c r="D83" s="38">
        <f t="shared" ref="D83" si="9">C83</f>
        <v>137580.89000000001</v>
      </c>
      <c r="E83" s="38">
        <f t="shared" ref="E83" si="10">A83+B83-C83</f>
        <v>26236.179999999993</v>
      </c>
      <c r="F83" s="36" t="s">
        <v>83</v>
      </c>
    </row>
    <row r="84" spans="1:7" x14ac:dyDescent="0.3">
      <c r="A84" s="39">
        <f>SUM(A82:A83)</f>
        <v>99179.329999999987</v>
      </c>
      <c r="B84" s="39">
        <f t="shared" ref="B84:E84" si="11">SUM(B82:B83)</f>
        <v>335418.59999999998</v>
      </c>
      <c r="C84" s="39">
        <f t="shared" si="11"/>
        <v>365691.54000000004</v>
      </c>
      <c r="D84" s="39">
        <f t="shared" si="11"/>
        <v>365691.54000000004</v>
      </c>
      <c r="E84" s="39">
        <f t="shared" si="11"/>
        <v>68906.389999999956</v>
      </c>
      <c r="F84" s="40" t="s">
        <v>13</v>
      </c>
      <c r="G84" s="67"/>
    </row>
    <row r="85" spans="1:7" s="3" customFormat="1" x14ac:dyDescent="0.3">
      <c r="A85" s="197" t="s">
        <v>84</v>
      </c>
      <c r="B85" s="198"/>
      <c r="C85" s="198"/>
      <c r="D85" s="198"/>
      <c r="E85" s="198"/>
      <c r="F85" s="198"/>
    </row>
    <row r="86" spans="1:7" s="3" customFormat="1" x14ac:dyDescent="0.3">
      <c r="A86" s="198"/>
      <c r="B86" s="198"/>
      <c r="C86" s="198"/>
      <c r="D86" s="198"/>
      <c r="E86" s="198"/>
      <c r="F86" s="198"/>
    </row>
    <row r="87" spans="1:7" s="3" customFormat="1" ht="46.5" customHeight="1" x14ac:dyDescent="0.3">
      <c r="A87" s="43">
        <v>1</v>
      </c>
      <c r="B87" s="44"/>
      <c r="C87" s="44" t="s">
        <v>89</v>
      </c>
      <c r="D87" s="103">
        <f>D88+D89</f>
        <v>86340.93</v>
      </c>
      <c r="E87" s="31"/>
      <c r="F87" s="31"/>
    </row>
    <row r="88" spans="1:7" s="47" customFormat="1" x14ac:dyDescent="0.3">
      <c r="A88" s="79" t="s">
        <v>110</v>
      </c>
      <c r="B88" s="104">
        <v>42217</v>
      </c>
      <c r="C88" s="92" t="s">
        <v>112</v>
      </c>
      <c r="D88" s="105">
        <v>39472.11</v>
      </c>
      <c r="E88" s="46"/>
      <c r="F88" s="46"/>
    </row>
    <row r="89" spans="1:7" s="3" customFormat="1" x14ac:dyDescent="0.3">
      <c r="A89" s="79" t="s">
        <v>111</v>
      </c>
      <c r="B89" s="104">
        <v>42217</v>
      </c>
      <c r="C89" s="92" t="s">
        <v>112</v>
      </c>
      <c r="D89" s="105">
        <v>46868.82</v>
      </c>
      <c r="E89" s="31"/>
      <c r="F89" s="31"/>
    </row>
    <row r="90" spans="1:7" x14ac:dyDescent="0.3">
      <c r="B90" s="106"/>
      <c r="C90" s="77"/>
      <c r="D90" s="77"/>
    </row>
    <row r="97" spans="6:6" x14ac:dyDescent="0.3">
      <c r="F97" s="102"/>
    </row>
  </sheetData>
  <mergeCells count="46">
    <mergeCell ref="A64:E64"/>
    <mergeCell ref="A71:F71"/>
    <mergeCell ref="A80:E80"/>
    <mergeCell ref="A85:F86"/>
    <mergeCell ref="A63:F63"/>
    <mergeCell ref="A50:F51"/>
    <mergeCell ref="A61:F61"/>
    <mergeCell ref="A20:F20"/>
    <mergeCell ref="B21:C21"/>
    <mergeCell ref="A23:F23"/>
    <mergeCell ref="A24:F24"/>
    <mergeCell ref="A25:F25"/>
    <mergeCell ref="A62:F62"/>
    <mergeCell ref="A57:F57"/>
    <mergeCell ref="B12:D12"/>
    <mergeCell ref="E12:F12"/>
    <mergeCell ref="B13:D13"/>
    <mergeCell ref="E13:F13"/>
    <mergeCell ref="B14:D14"/>
    <mergeCell ref="E14:F14"/>
    <mergeCell ref="B15:D15"/>
    <mergeCell ref="E15:F15"/>
    <mergeCell ref="A17:F17"/>
    <mergeCell ref="C18:D18"/>
    <mergeCell ref="E18:F18"/>
    <mergeCell ref="A26:E26"/>
    <mergeCell ref="A32:F32"/>
    <mergeCell ref="A42:E42"/>
    <mergeCell ref="B9:D9"/>
    <mergeCell ref="E9:F9"/>
    <mergeCell ref="B10:D10"/>
    <mergeCell ref="E10:F10"/>
    <mergeCell ref="B11:D11"/>
    <mergeCell ref="E11:F11"/>
    <mergeCell ref="B6:D6"/>
    <mergeCell ref="E6:F6"/>
    <mergeCell ref="B7:D7"/>
    <mergeCell ref="E7:F7"/>
    <mergeCell ref="B8:D8"/>
    <mergeCell ref="E8:F8"/>
    <mergeCell ref="A1:F1"/>
    <mergeCell ref="A3:F3"/>
    <mergeCell ref="B4:D4"/>
    <mergeCell ref="E4:F4"/>
    <mergeCell ref="B5:D5"/>
    <mergeCell ref="E5:F5"/>
  </mergeCells>
  <pageMargins left="0.31496062992125984" right="0.11811023622047245" top="0.74803149606299213" bottom="0.74803149606299213" header="0.31496062992125984" footer="0.31496062992125984"/>
  <pageSetup paperSize="9" scale="91" orientation="portrait" horizontalDpi="180" verticalDpi="180" r:id="rId1"/>
  <rowBreaks count="2" manualBreakCount="2">
    <brk id="22" max="16383" man="1"/>
    <brk id="55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AT19"/>
  <sheetViews>
    <sheetView workbookViewId="0">
      <pane xSplit="2" ySplit="3" topLeftCell="AB4" activePane="bottomRight" state="frozen"/>
      <selection pane="topRight" activeCell="C1" sqref="C1"/>
      <selection pane="bottomLeft" activeCell="A4" sqref="A4"/>
      <selection pane="bottomRight"/>
    </sheetView>
  </sheetViews>
  <sheetFormatPr defaultColWidth="9.109375" defaultRowHeight="14.4" x14ac:dyDescent="0.3"/>
  <cols>
    <col min="1" max="1" width="11.33203125" style="3" customWidth="1"/>
    <col min="2" max="2" width="3.44140625" style="3" customWidth="1"/>
    <col min="3" max="3" width="10.109375" style="3" customWidth="1"/>
    <col min="4" max="4" width="9.5546875" style="3" customWidth="1"/>
    <col min="5" max="39" width="9.109375" style="3"/>
    <col min="40" max="40" width="10" style="3" customWidth="1"/>
    <col min="41" max="41" width="10.88671875" style="3" customWidth="1"/>
    <col min="42" max="42" width="9.109375" style="3"/>
    <col min="43" max="43" width="10.6640625" style="3" customWidth="1"/>
    <col min="44" max="16384" width="9.109375" style="3"/>
  </cols>
  <sheetData>
    <row r="1" spans="1:46" x14ac:dyDescent="0.3">
      <c r="A1" s="1" t="s">
        <v>0</v>
      </c>
      <c r="B1" s="1"/>
      <c r="C1" s="2"/>
    </row>
    <row r="2" spans="1:46" x14ac:dyDescent="0.3">
      <c r="A2" s="4"/>
      <c r="B2" s="4"/>
      <c r="C2" s="209" t="s">
        <v>1</v>
      </c>
      <c r="D2" s="209"/>
      <c r="E2" s="209"/>
      <c r="F2" s="209" t="s">
        <v>2</v>
      </c>
      <c r="G2" s="209"/>
      <c r="H2" s="209"/>
      <c r="I2" s="209" t="s">
        <v>3</v>
      </c>
      <c r="J2" s="209"/>
      <c r="K2" s="209"/>
      <c r="L2" s="209" t="s">
        <v>4</v>
      </c>
      <c r="M2" s="209"/>
      <c r="N2" s="209"/>
      <c r="O2" s="209" t="s">
        <v>5</v>
      </c>
      <c r="P2" s="209"/>
      <c r="Q2" s="209"/>
      <c r="R2" s="209" t="s">
        <v>6</v>
      </c>
      <c r="S2" s="209"/>
      <c r="T2" s="209"/>
      <c r="U2" s="209" t="s">
        <v>7</v>
      </c>
      <c r="V2" s="209"/>
      <c r="W2" s="209"/>
      <c r="X2" s="209" t="s">
        <v>8</v>
      </c>
      <c r="Y2" s="209"/>
      <c r="Z2" s="209"/>
      <c r="AA2" s="209" t="s">
        <v>9</v>
      </c>
      <c r="AB2" s="209"/>
      <c r="AC2" s="209"/>
      <c r="AD2" s="209" t="s">
        <v>10</v>
      </c>
      <c r="AE2" s="209"/>
      <c r="AF2" s="209"/>
      <c r="AG2" s="209" t="s">
        <v>11</v>
      </c>
      <c r="AH2" s="209"/>
      <c r="AI2" s="209"/>
      <c r="AJ2" s="209" t="s">
        <v>12</v>
      </c>
      <c r="AK2" s="209"/>
      <c r="AL2" s="209"/>
      <c r="AM2" s="5">
        <v>41275</v>
      </c>
      <c r="AN2" s="210" t="s">
        <v>13</v>
      </c>
      <c r="AO2" s="211"/>
      <c r="AP2" s="212"/>
      <c r="AQ2" s="6"/>
      <c r="AR2" s="213">
        <v>41275</v>
      </c>
      <c r="AS2" s="209"/>
      <c r="AT2" s="209"/>
    </row>
    <row r="3" spans="1:46" x14ac:dyDescent="0.3">
      <c r="A3" s="4"/>
      <c r="B3" s="4"/>
      <c r="C3" s="7" t="s">
        <v>14</v>
      </c>
      <c r="D3" s="7" t="s">
        <v>15</v>
      </c>
      <c r="E3" s="7" t="s">
        <v>16</v>
      </c>
      <c r="F3" s="7" t="s">
        <v>14</v>
      </c>
      <c r="G3" s="7" t="s">
        <v>15</v>
      </c>
      <c r="H3" s="7" t="s">
        <v>16</v>
      </c>
      <c r="I3" s="7" t="s">
        <v>14</v>
      </c>
      <c r="J3" s="7" t="s">
        <v>15</v>
      </c>
      <c r="K3" s="7" t="s">
        <v>16</v>
      </c>
      <c r="L3" s="7" t="s">
        <v>14</v>
      </c>
      <c r="M3" s="7" t="s">
        <v>15</v>
      </c>
      <c r="N3" s="7" t="s">
        <v>16</v>
      </c>
      <c r="O3" s="7" t="s">
        <v>14</v>
      </c>
      <c r="P3" s="7" t="s">
        <v>15</v>
      </c>
      <c r="Q3" s="7" t="s">
        <v>16</v>
      </c>
      <c r="R3" s="7" t="s">
        <v>14</v>
      </c>
      <c r="S3" s="7" t="s">
        <v>15</v>
      </c>
      <c r="T3" s="7" t="s">
        <v>16</v>
      </c>
      <c r="U3" s="7" t="s">
        <v>14</v>
      </c>
      <c r="V3" s="7" t="s">
        <v>15</v>
      </c>
      <c r="W3" s="7" t="s">
        <v>16</v>
      </c>
      <c r="X3" s="7" t="s">
        <v>14</v>
      </c>
      <c r="Y3" s="7" t="s">
        <v>15</v>
      </c>
      <c r="Z3" s="7" t="s">
        <v>16</v>
      </c>
      <c r="AA3" s="7" t="s">
        <v>14</v>
      </c>
      <c r="AB3" s="7" t="s">
        <v>15</v>
      </c>
      <c r="AC3" s="7" t="s">
        <v>16</v>
      </c>
      <c r="AD3" s="7" t="s">
        <v>14</v>
      </c>
      <c r="AE3" s="7" t="s">
        <v>15</v>
      </c>
      <c r="AF3" s="7" t="s">
        <v>16</v>
      </c>
      <c r="AG3" s="7" t="s">
        <v>14</v>
      </c>
      <c r="AH3" s="7" t="s">
        <v>15</v>
      </c>
      <c r="AI3" s="7" t="s">
        <v>16</v>
      </c>
      <c r="AJ3" s="7" t="s">
        <v>14</v>
      </c>
      <c r="AK3" s="7" t="s">
        <v>15</v>
      </c>
      <c r="AL3" s="7" t="s">
        <v>16</v>
      </c>
      <c r="AM3" s="7" t="s">
        <v>17</v>
      </c>
      <c r="AN3" s="7" t="s">
        <v>14</v>
      </c>
      <c r="AO3" s="7" t="s">
        <v>15</v>
      </c>
      <c r="AP3" s="7" t="s">
        <v>16</v>
      </c>
      <c r="AQ3" s="8"/>
      <c r="AR3" s="7" t="s">
        <v>14</v>
      </c>
      <c r="AS3" s="7" t="s">
        <v>15</v>
      </c>
      <c r="AT3" s="7" t="s">
        <v>16</v>
      </c>
    </row>
    <row r="4" spans="1:46" x14ac:dyDescent="0.3">
      <c r="A4" s="9" t="s">
        <v>18</v>
      </c>
      <c r="B4" s="10"/>
      <c r="C4" s="11">
        <v>28458.79</v>
      </c>
      <c r="D4" s="4">
        <v>38910.58</v>
      </c>
      <c r="E4" s="4"/>
      <c r="F4" s="11">
        <v>28458.79</v>
      </c>
      <c r="G4" s="4">
        <v>29433.82</v>
      </c>
      <c r="H4" s="4"/>
      <c r="I4" s="11">
        <v>31371.57</v>
      </c>
      <c r="J4" s="4">
        <v>30765.08</v>
      </c>
      <c r="K4" s="4"/>
      <c r="L4" s="11">
        <v>31408.17</v>
      </c>
      <c r="M4" s="4">
        <v>27466.77</v>
      </c>
      <c r="N4" s="4"/>
      <c r="O4" s="11">
        <v>31408.17</v>
      </c>
      <c r="P4" s="4">
        <v>41489.51</v>
      </c>
      <c r="Q4" s="4"/>
      <c r="R4" s="11">
        <v>31408.17</v>
      </c>
      <c r="S4" s="4">
        <v>46681.36</v>
      </c>
      <c r="T4" s="4"/>
      <c r="U4" s="11">
        <v>31408.17</v>
      </c>
      <c r="V4" s="4">
        <v>30028.06</v>
      </c>
      <c r="W4" s="4"/>
      <c r="X4" s="11">
        <v>31408.17</v>
      </c>
      <c r="Y4" s="4">
        <v>32257.14</v>
      </c>
      <c r="Z4" s="4"/>
      <c r="AA4" s="11">
        <v>31408.17</v>
      </c>
      <c r="AB4" s="4">
        <v>30734.68</v>
      </c>
      <c r="AC4" s="4"/>
      <c r="AD4" s="11">
        <v>31408.17</v>
      </c>
      <c r="AE4" s="4">
        <v>32130.13</v>
      </c>
      <c r="AF4" s="4"/>
      <c r="AG4" s="11">
        <v>31408.17</v>
      </c>
      <c r="AH4" s="4">
        <v>34222.300000000003</v>
      </c>
      <c r="AI4" s="4"/>
      <c r="AJ4" s="11">
        <v>31408.17</v>
      </c>
      <c r="AK4" s="4">
        <v>29714.33</v>
      </c>
      <c r="AL4" s="4">
        <f t="shared" ref="AL4:AL15" si="0">AI4-AJ4+AK4</f>
        <v>-1693.8399999999965</v>
      </c>
      <c r="AM4" s="11"/>
      <c r="AN4" s="12">
        <f>C4+F4+I4+L4+O4+R4+U4+X4+AA4+AD4+AG4+AJ4</f>
        <v>370962.67999999988</v>
      </c>
      <c r="AO4" s="12">
        <f>D4+G4+J4+M4+P4+S4+V4+Y4+AB4+AE4+AH4+AK4</f>
        <v>403833.76</v>
      </c>
      <c r="AP4" s="13">
        <f>AN4-AO4</f>
        <v>-32871.080000000133</v>
      </c>
      <c r="AQ4" s="12">
        <f>B4+G4+J4+M4+P4+S4+V4+Y4+AB4+AE4+AH4+AK4+AM4</f>
        <v>364923.18</v>
      </c>
      <c r="AR4" s="4">
        <v>21494.16</v>
      </c>
      <c r="AS4" s="4">
        <v>22722.13</v>
      </c>
      <c r="AT4" s="4">
        <v>-90021.16</v>
      </c>
    </row>
    <row r="5" spans="1:46" x14ac:dyDescent="0.3">
      <c r="A5" s="9" t="s">
        <v>19</v>
      </c>
      <c r="B5" s="10"/>
      <c r="C5" s="11">
        <v>6770.29</v>
      </c>
      <c r="D5" s="4">
        <v>10544.67</v>
      </c>
      <c r="E5" s="4"/>
      <c r="F5" s="11">
        <v>6770.29</v>
      </c>
      <c r="G5" s="4">
        <v>7039.59</v>
      </c>
      <c r="H5" s="4"/>
      <c r="I5" s="11">
        <v>7163.91</v>
      </c>
      <c r="J5" s="4">
        <v>7059.35</v>
      </c>
      <c r="K5" s="4"/>
      <c r="L5" s="11">
        <v>7163.91</v>
      </c>
      <c r="M5" s="4">
        <v>6299.66</v>
      </c>
      <c r="N5" s="4"/>
      <c r="O5" s="11">
        <v>7163.91</v>
      </c>
      <c r="P5" s="4">
        <v>9781.64</v>
      </c>
      <c r="Q5" s="4"/>
      <c r="R5" s="11">
        <v>7163.91</v>
      </c>
      <c r="S5" s="4">
        <v>10890.05</v>
      </c>
      <c r="T5" s="4"/>
      <c r="U5" s="11">
        <v>7163.91</v>
      </c>
      <c r="V5" s="4">
        <v>6869.88</v>
      </c>
      <c r="W5" s="4"/>
      <c r="X5" s="11">
        <v>7163.91</v>
      </c>
      <c r="Y5" s="4">
        <v>7696.4</v>
      </c>
      <c r="Z5" s="4"/>
      <c r="AA5" s="11">
        <v>14327.77</v>
      </c>
      <c r="AB5" s="4">
        <v>12663.65</v>
      </c>
      <c r="AC5" s="4"/>
      <c r="AD5" s="11">
        <v>14327.77</v>
      </c>
      <c r="AE5" s="4">
        <v>14054.33</v>
      </c>
      <c r="AF5" s="4"/>
      <c r="AG5" s="11">
        <v>14327.77</v>
      </c>
      <c r="AH5" s="4">
        <v>15234.26</v>
      </c>
      <c r="AI5" s="4"/>
      <c r="AJ5" s="11">
        <v>14327.77</v>
      </c>
      <c r="AK5" s="4">
        <v>13076.6</v>
      </c>
      <c r="AL5" s="4">
        <f t="shared" si="0"/>
        <v>-1251.17</v>
      </c>
      <c r="AM5" s="11"/>
      <c r="AN5" s="12">
        <f t="shared" ref="AN5:AO15" si="1">C5+F5+I5+L5+O5+R5+U5+X5+AA5+AD5+AG5+AJ5</f>
        <v>113835.12000000002</v>
      </c>
      <c r="AO5" s="12">
        <f t="shared" si="1"/>
        <v>121210.08</v>
      </c>
      <c r="AP5" s="13">
        <f t="shared" ref="AP5:AP15" si="2">AN5-AO5</f>
        <v>-7374.9599999999773</v>
      </c>
      <c r="AQ5" s="12">
        <f>B5+G5+J5+M5+P5+S5+V5+Y5+AB5+AE5+AH5+AK5+AM5</f>
        <v>110665.40999999999</v>
      </c>
      <c r="AR5" s="4">
        <v>8761.2000000000007</v>
      </c>
      <c r="AS5" s="4">
        <v>9415.58</v>
      </c>
      <c r="AT5" s="4">
        <v>-42268.09</v>
      </c>
    </row>
    <row r="6" spans="1:46" x14ac:dyDescent="0.3">
      <c r="A6" s="9" t="s">
        <v>20</v>
      </c>
      <c r="B6" s="10"/>
      <c r="C6" s="11"/>
      <c r="D6" s="4">
        <v>184.24</v>
      </c>
      <c r="E6" s="4"/>
      <c r="F6" s="11"/>
      <c r="G6" s="4">
        <v>24.46</v>
      </c>
      <c r="H6" s="4"/>
      <c r="I6" s="11"/>
      <c r="J6" s="4">
        <v>0.02</v>
      </c>
      <c r="K6" s="4"/>
      <c r="L6" s="11"/>
      <c r="M6" s="4">
        <v>13.27</v>
      </c>
      <c r="N6" s="4"/>
      <c r="O6" s="11"/>
      <c r="P6" s="4">
        <v>44.47</v>
      </c>
      <c r="Q6" s="4"/>
      <c r="R6" s="11"/>
      <c r="S6" s="4">
        <v>28.58</v>
      </c>
      <c r="T6" s="4"/>
      <c r="U6" s="11"/>
      <c r="V6" s="4">
        <v>22.73</v>
      </c>
      <c r="W6" s="4"/>
      <c r="X6" s="11"/>
      <c r="Y6" s="4">
        <v>11.86</v>
      </c>
      <c r="Z6" s="4"/>
      <c r="AA6" s="11"/>
      <c r="AB6" s="4">
        <v>15.95</v>
      </c>
      <c r="AC6" s="4"/>
      <c r="AD6" s="11"/>
      <c r="AE6" s="4">
        <v>3.18</v>
      </c>
      <c r="AF6" s="4"/>
      <c r="AG6" s="11"/>
      <c r="AH6" s="4">
        <v>8.9700000000000006</v>
      </c>
      <c r="AI6" s="4"/>
      <c r="AJ6" s="11"/>
      <c r="AK6" s="4"/>
      <c r="AL6" s="4">
        <f t="shared" si="0"/>
        <v>0</v>
      </c>
      <c r="AM6" s="11"/>
      <c r="AN6" s="12">
        <f t="shared" si="1"/>
        <v>0</v>
      </c>
      <c r="AO6" s="12">
        <f t="shared" si="1"/>
        <v>357.73000000000008</v>
      </c>
      <c r="AP6" s="13">
        <f t="shared" si="2"/>
        <v>-357.73000000000008</v>
      </c>
      <c r="AQ6" s="12">
        <f>B6+G6+J6+M6+P6+S6+V6+Y6+AB6+AE6+AH6+AK6+AM6</f>
        <v>173.48999999999998</v>
      </c>
      <c r="AR6" s="4"/>
      <c r="AS6" s="4"/>
      <c r="AT6" s="4">
        <v>0</v>
      </c>
    </row>
    <row r="7" spans="1:46" x14ac:dyDescent="0.3">
      <c r="A7" s="9" t="s">
        <v>21</v>
      </c>
      <c r="B7" s="10"/>
      <c r="C7" s="11">
        <v>11806.7</v>
      </c>
      <c r="D7" s="4">
        <v>16989.419999999998</v>
      </c>
      <c r="E7" s="4"/>
      <c r="F7" s="11">
        <v>12399.17</v>
      </c>
      <c r="G7" s="4">
        <v>12680.23</v>
      </c>
      <c r="H7" s="4"/>
      <c r="I7" s="11">
        <v>12399.17</v>
      </c>
      <c r="J7" s="4">
        <v>12283.25</v>
      </c>
      <c r="K7" s="4"/>
      <c r="L7" s="11">
        <v>12399.17</v>
      </c>
      <c r="M7" s="4">
        <v>10887.84</v>
      </c>
      <c r="N7" s="4"/>
      <c r="O7" s="11">
        <v>12380.01</v>
      </c>
      <c r="P7" s="4">
        <v>16272.95</v>
      </c>
      <c r="Q7" s="4"/>
      <c r="R7" s="11">
        <v>12399.17</v>
      </c>
      <c r="S7" s="4">
        <v>15756.58</v>
      </c>
      <c r="T7" s="4"/>
      <c r="U7" s="11">
        <v>12399.17</v>
      </c>
      <c r="V7" s="4">
        <v>10771.16</v>
      </c>
      <c r="W7" s="4"/>
      <c r="X7" s="11">
        <v>12399.17</v>
      </c>
      <c r="Y7" s="4">
        <v>12680.53</v>
      </c>
      <c r="Z7" s="4"/>
      <c r="AA7" s="11">
        <v>12399.17</v>
      </c>
      <c r="AB7" s="4">
        <v>11674.42</v>
      </c>
      <c r="AC7" s="4"/>
      <c r="AD7" s="11">
        <v>12399.17</v>
      </c>
      <c r="AE7" s="4">
        <v>12408.61</v>
      </c>
      <c r="AF7" s="4"/>
      <c r="AG7" s="11">
        <v>12399.17</v>
      </c>
      <c r="AH7" s="4">
        <v>13422.73</v>
      </c>
      <c r="AI7" s="4"/>
      <c r="AJ7" s="11">
        <v>12399.17</v>
      </c>
      <c r="AK7" s="4">
        <v>11470.55</v>
      </c>
      <c r="AL7" s="4">
        <f t="shared" si="0"/>
        <v>-928.6200000000008</v>
      </c>
      <c r="AM7" s="11"/>
      <c r="AN7" s="12">
        <f t="shared" si="1"/>
        <v>148178.41</v>
      </c>
      <c r="AO7" s="12">
        <f t="shared" si="1"/>
        <v>157298.26999999999</v>
      </c>
      <c r="AP7" s="13">
        <f t="shared" si="2"/>
        <v>-9119.859999999986</v>
      </c>
      <c r="AQ7" s="12">
        <f t="shared" ref="AQ7:AQ15" si="3">B7+G7+J7+M7+P7+S7+V7+Y7+AB7+AE7+AH7+AK7+AM7</f>
        <v>140308.85</v>
      </c>
      <c r="AR7" s="4"/>
      <c r="AS7" s="4"/>
      <c r="AT7" s="4">
        <f t="shared" ref="AT7:AT14" si="4">AQ7-AR7+AS7</f>
        <v>140308.85</v>
      </c>
    </row>
    <row r="8" spans="1:46" x14ac:dyDescent="0.3">
      <c r="A8" s="9" t="s">
        <v>22</v>
      </c>
      <c r="B8" s="10"/>
      <c r="C8" s="11"/>
      <c r="D8" s="4">
        <v>1653.02</v>
      </c>
      <c r="E8" s="4"/>
      <c r="F8" s="11"/>
      <c r="G8" s="4">
        <v>136.43</v>
      </c>
      <c r="H8" s="4"/>
      <c r="I8" s="11"/>
      <c r="J8" s="4">
        <v>27.98</v>
      </c>
      <c r="K8" s="4"/>
      <c r="L8" s="11"/>
      <c r="M8" s="4"/>
      <c r="N8" s="4"/>
      <c r="O8" s="11"/>
      <c r="P8" s="4">
        <v>208.24</v>
      </c>
      <c r="Q8" s="4"/>
      <c r="R8" s="11"/>
      <c r="S8" s="4">
        <v>150.11000000000001</v>
      </c>
      <c r="T8" s="4"/>
      <c r="U8" s="11"/>
      <c r="V8" s="4">
        <v>140.82</v>
      </c>
      <c r="W8" s="4"/>
      <c r="X8" s="11"/>
      <c r="Y8" s="4">
        <v>27.07</v>
      </c>
      <c r="Z8" s="4"/>
      <c r="AA8" s="11"/>
      <c r="AB8" s="4">
        <v>80.64</v>
      </c>
      <c r="AC8" s="4"/>
      <c r="AD8" s="11"/>
      <c r="AE8" s="4">
        <v>18.72</v>
      </c>
      <c r="AF8" s="4"/>
      <c r="AG8" s="11"/>
      <c r="AH8" s="4">
        <v>45.01</v>
      </c>
      <c r="AI8" s="4"/>
      <c r="AJ8" s="11"/>
      <c r="AK8" s="4"/>
      <c r="AL8" s="4">
        <f t="shared" si="0"/>
        <v>0</v>
      </c>
      <c r="AM8" s="11"/>
      <c r="AN8" s="12">
        <f t="shared" si="1"/>
        <v>0</v>
      </c>
      <c r="AO8" s="12">
        <f t="shared" si="1"/>
        <v>2488.0400000000004</v>
      </c>
      <c r="AP8" s="13">
        <f t="shared" si="2"/>
        <v>-2488.0400000000004</v>
      </c>
      <c r="AQ8" s="12">
        <f t="shared" si="3"/>
        <v>835.02</v>
      </c>
      <c r="AR8" s="4">
        <v>1591.22</v>
      </c>
      <c r="AS8" s="4">
        <v>1835.88</v>
      </c>
      <c r="AT8" s="4">
        <v>-7361.97</v>
      </c>
    </row>
    <row r="9" spans="1:46" x14ac:dyDescent="0.3">
      <c r="A9" s="9" t="s">
        <v>23</v>
      </c>
      <c r="B9" s="10"/>
      <c r="C9" s="11">
        <v>3621.33</v>
      </c>
      <c r="D9" s="4">
        <v>4696.03</v>
      </c>
      <c r="E9" s="4"/>
      <c r="F9" s="11">
        <v>3621.33</v>
      </c>
      <c r="G9" s="4">
        <v>3743.82</v>
      </c>
      <c r="H9" s="4"/>
      <c r="I9" s="11">
        <v>3621.33</v>
      </c>
      <c r="J9" s="4">
        <v>3590.16</v>
      </c>
      <c r="K9" s="4"/>
      <c r="L9" s="11">
        <v>3621.33</v>
      </c>
      <c r="M9" s="4">
        <v>3193.68</v>
      </c>
      <c r="N9" s="4"/>
      <c r="O9" s="11">
        <v>3621.33</v>
      </c>
      <c r="P9" s="4">
        <v>4834.34</v>
      </c>
      <c r="Q9" s="4"/>
      <c r="R9" s="11">
        <v>3621.33</v>
      </c>
      <c r="S9" s="4">
        <v>4187.1000000000004</v>
      </c>
      <c r="T9" s="4"/>
      <c r="U9" s="11">
        <v>3621.33</v>
      </c>
      <c r="V9" s="4">
        <v>3016.8</v>
      </c>
      <c r="W9" s="4"/>
      <c r="X9" s="11">
        <v>3621.33</v>
      </c>
      <c r="Y9" s="4">
        <v>3614.19</v>
      </c>
      <c r="Z9" s="4"/>
      <c r="AA9" s="11">
        <v>3621.33</v>
      </c>
      <c r="AB9" s="4">
        <v>3313.36</v>
      </c>
      <c r="AC9" s="4"/>
      <c r="AD9" s="11">
        <v>3621.33</v>
      </c>
      <c r="AE9" s="4">
        <v>3556.48</v>
      </c>
      <c r="AF9" s="4"/>
      <c r="AG9" s="11">
        <v>3621.33</v>
      </c>
      <c r="AH9" s="4">
        <v>3874.22</v>
      </c>
      <c r="AI9" s="4"/>
      <c r="AJ9" s="11">
        <v>3621.33</v>
      </c>
      <c r="AK9" s="4">
        <v>49.26</v>
      </c>
      <c r="AL9" s="4">
        <f t="shared" si="0"/>
        <v>-3572.0699999999997</v>
      </c>
      <c r="AM9" s="11"/>
      <c r="AN9" s="12">
        <f t="shared" si="1"/>
        <v>43455.960000000014</v>
      </c>
      <c r="AO9" s="12">
        <f t="shared" si="1"/>
        <v>41669.440000000002</v>
      </c>
      <c r="AP9" s="13">
        <f t="shared" si="2"/>
        <v>1786.5200000000114</v>
      </c>
      <c r="AQ9" s="12">
        <f t="shared" si="3"/>
        <v>36973.410000000003</v>
      </c>
      <c r="AR9" s="4"/>
      <c r="AS9" s="4"/>
      <c r="AT9" s="4">
        <f t="shared" si="4"/>
        <v>36973.410000000003</v>
      </c>
    </row>
    <row r="10" spans="1:46" x14ac:dyDescent="0.3">
      <c r="A10" s="9" t="s">
        <v>24</v>
      </c>
      <c r="B10" s="10"/>
      <c r="C10" s="11">
        <v>7200</v>
      </c>
      <c r="D10" s="4">
        <v>8406.7099999999991</v>
      </c>
      <c r="E10" s="4"/>
      <c r="F10" s="11">
        <v>7200</v>
      </c>
      <c r="G10" s="4">
        <v>7491.57</v>
      </c>
      <c r="H10" s="4"/>
      <c r="I10" s="11">
        <v>7200</v>
      </c>
      <c r="J10" s="4">
        <v>7095.52</v>
      </c>
      <c r="K10" s="4"/>
      <c r="L10" s="11">
        <v>7200</v>
      </c>
      <c r="M10" s="4">
        <v>6282.12</v>
      </c>
      <c r="N10" s="4"/>
      <c r="O10" s="11">
        <v>7200</v>
      </c>
      <c r="P10" s="4">
        <v>9370.6</v>
      </c>
      <c r="Q10" s="4"/>
      <c r="R10" s="11">
        <v>7200</v>
      </c>
      <c r="S10" s="4">
        <v>8111.88</v>
      </c>
      <c r="T10" s="4"/>
      <c r="U10" s="11">
        <v>7200</v>
      </c>
      <c r="V10" s="4">
        <v>5884.29</v>
      </c>
      <c r="W10" s="4"/>
      <c r="X10" s="11">
        <v>7200</v>
      </c>
      <c r="Y10" s="4">
        <v>6967.29</v>
      </c>
      <c r="Z10" s="4"/>
      <c r="AA10" s="11">
        <v>7200</v>
      </c>
      <c r="AB10" s="4">
        <v>6388.44</v>
      </c>
      <c r="AC10" s="4"/>
      <c r="AD10" s="11">
        <v>7200</v>
      </c>
      <c r="AE10" s="4">
        <v>6961.41</v>
      </c>
      <c r="AF10" s="4"/>
      <c r="AG10" s="11">
        <v>7200</v>
      </c>
      <c r="AH10" s="4">
        <v>7775.98</v>
      </c>
      <c r="AI10" s="4"/>
      <c r="AJ10" s="11">
        <v>7200</v>
      </c>
      <c r="AK10" s="4">
        <v>6397.81</v>
      </c>
      <c r="AL10" s="4">
        <f t="shared" si="0"/>
        <v>-802.1899999999996</v>
      </c>
      <c r="AM10" s="11"/>
      <c r="AN10" s="12">
        <f t="shared" si="1"/>
        <v>86400</v>
      </c>
      <c r="AO10" s="12">
        <f t="shared" si="1"/>
        <v>87133.62</v>
      </c>
      <c r="AP10" s="13">
        <f t="shared" si="2"/>
        <v>-733.61999999999534</v>
      </c>
      <c r="AQ10" s="12">
        <f t="shared" si="3"/>
        <v>78726.909999999989</v>
      </c>
      <c r="AR10" s="4"/>
      <c r="AS10" s="4"/>
      <c r="AT10" s="4">
        <f t="shared" si="4"/>
        <v>78726.909999999989</v>
      </c>
    </row>
    <row r="11" spans="1:46" x14ac:dyDescent="0.3">
      <c r="A11" s="9" t="s">
        <v>25</v>
      </c>
      <c r="B11" s="10"/>
      <c r="C11" s="11">
        <v>11178.81</v>
      </c>
      <c r="D11" s="4">
        <v>14850.77</v>
      </c>
      <c r="E11" s="4"/>
      <c r="F11" s="11">
        <v>11178.81</v>
      </c>
      <c r="G11" s="4">
        <v>11546.5</v>
      </c>
      <c r="H11" s="4"/>
      <c r="I11" s="11">
        <v>11729.85</v>
      </c>
      <c r="J11" s="4">
        <v>11569.73</v>
      </c>
      <c r="K11" s="4"/>
      <c r="L11" s="11">
        <v>11729.85</v>
      </c>
      <c r="M11" s="4">
        <v>10303.86</v>
      </c>
      <c r="N11" s="4"/>
      <c r="O11" s="11">
        <v>11729.85</v>
      </c>
      <c r="P11" s="4">
        <v>15566.91</v>
      </c>
      <c r="Q11" s="4"/>
      <c r="R11" s="11">
        <v>11729.85</v>
      </c>
      <c r="S11" s="4">
        <v>18825.3</v>
      </c>
      <c r="T11" s="4"/>
      <c r="U11" s="11">
        <v>11729.85</v>
      </c>
      <c r="V11" s="4">
        <v>11499.21</v>
      </c>
      <c r="W11" s="4"/>
      <c r="X11" s="11">
        <v>11729.85</v>
      </c>
      <c r="Y11" s="4">
        <v>12766.92</v>
      </c>
      <c r="Z11" s="4"/>
      <c r="AA11" s="11">
        <v>11729.85</v>
      </c>
      <c r="AB11" s="4">
        <v>11748.6</v>
      </c>
      <c r="AC11" s="4"/>
      <c r="AD11" s="11">
        <v>11729.85</v>
      </c>
      <c r="AE11" s="4">
        <v>12057.59</v>
      </c>
      <c r="AF11" s="4"/>
      <c r="AG11" s="11">
        <v>11729.85</v>
      </c>
      <c r="AH11" s="4">
        <v>13046.78</v>
      </c>
      <c r="AI11" s="4"/>
      <c r="AJ11" s="11">
        <v>11729.85</v>
      </c>
      <c r="AK11" s="4">
        <v>11254.49</v>
      </c>
      <c r="AL11" s="4">
        <f t="shared" si="0"/>
        <v>-475.36000000000058</v>
      </c>
      <c r="AM11" s="11"/>
      <c r="AN11" s="12">
        <f t="shared" si="1"/>
        <v>139656.12000000002</v>
      </c>
      <c r="AO11" s="12">
        <f t="shared" si="1"/>
        <v>155036.66</v>
      </c>
      <c r="AP11" s="13">
        <f t="shared" si="2"/>
        <v>-15380.539999999979</v>
      </c>
      <c r="AQ11" s="12">
        <f t="shared" si="3"/>
        <v>140185.89000000001</v>
      </c>
      <c r="AR11" s="4">
        <v>7593.04</v>
      </c>
      <c r="AS11" s="4">
        <v>7920.25</v>
      </c>
      <c r="AT11" s="4">
        <v>-29868.12</v>
      </c>
    </row>
    <row r="12" spans="1:46" x14ac:dyDescent="0.3">
      <c r="A12" s="9" t="s">
        <v>26</v>
      </c>
      <c r="B12" s="10"/>
      <c r="C12" s="11"/>
      <c r="D12" s="4"/>
      <c r="E12" s="4"/>
      <c r="F12" s="11"/>
      <c r="G12" s="4"/>
      <c r="H12" s="4"/>
      <c r="I12" s="11"/>
      <c r="J12" s="4"/>
      <c r="K12" s="4"/>
      <c r="L12" s="11"/>
      <c r="M12" s="4"/>
      <c r="N12" s="4"/>
      <c r="O12" s="11"/>
      <c r="P12" s="4"/>
      <c r="Q12" s="4"/>
      <c r="R12" s="11"/>
      <c r="S12" s="4"/>
      <c r="T12" s="4"/>
      <c r="U12" s="11"/>
      <c r="V12" s="4"/>
      <c r="W12" s="4"/>
      <c r="X12" s="11"/>
      <c r="Y12" s="4"/>
      <c r="Z12" s="4"/>
      <c r="AA12" s="11"/>
      <c r="AB12" s="4"/>
      <c r="AC12" s="4"/>
      <c r="AD12" s="11"/>
      <c r="AE12" s="4"/>
      <c r="AF12" s="4"/>
      <c r="AG12" s="11"/>
      <c r="AH12" s="4"/>
      <c r="AI12" s="4"/>
      <c r="AJ12" s="11"/>
      <c r="AK12" s="4"/>
      <c r="AL12" s="4">
        <f t="shared" si="0"/>
        <v>0</v>
      </c>
      <c r="AM12" s="11"/>
      <c r="AN12" s="12">
        <f t="shared" si="1"/>
        <v>0</v>
      </c>
      <c r="AO12" s="12">
        <f t="shared" si="1"/>
        <v>0</v>
      </c>
      <c r="AP12" s="13">
        <f t="shared" si="2"/>
        <v>0</v>
      </c>
      <c r="AQ12" s="12">
        <f t="shared" si="3"/>
        <v>0</v>
      </c>
      <c r="AR12" s="4">
        <v>184.35</v>
      </c>
      <c r="AS12" s="4">
        <v>184.35</v>
      </c>
      <c r="AT12" s="4">
        <v>-203.14</v>
      </c>
    </row>
    <row r="13" spans="1:46" x14ac:dyDescent="0.3">
      <c r="A13" s="9" t="s">
        <v>27</v>
      </c>
      <c r="B13" s="10"/>
      <c r="C13" s="11">
        <v>181635.32</v>
      </c>
      <c r="D13" s="4">
        <v>227479.36</v>
      </c>
      <c r="E13" s="4"/>
      <c r="F13" s="11">
        <v>181635.32</v>
      </c>
      <c r="G13" s="4">
        <v>178692.46</v>
      </c>
      <c r="H13" s="4"/>
      <c r="I13" s="11">
        <v>181635.32</v>
      </c>
      <c r="J13" s="4">
        <v>179164.46</v>
      </c>
      <c r="K13" s="4"/>
      <c r="L13" s="11">
        <v>175586.93</v>
      </c>
      <c r="M13" s="4">
        <v>151746.84</v>
      </c>
      <c r="N13" s="4"/>
      <c r="O13" s="11">
        <v>0</v>
      </c>
      <c r="P13" s="4">
        <v>14241.86</v>
      </c>
      <c r="Q13" s="4"/>
      <c r="R13" s="11">
        <v>0</v>
      </c>
      <c r="S13" s="4">
        <v>16727.16</v>
      </c>
      <c r="T13" s="4"/>
      <c r="U13" s="11">
        <v>0</v>
      </c>
      <c r="V13" s="4">
        <v>4821.71</v>
      </c>
      <c r="W13" s="4"/>
      <c r="X13" s="11">
        <v>0</v>
      </c>
      <c r="Y13" s="4">
        <v>2565.0700000000002</v>
      </c>
      <c r="Z13" s="4"/>
      <c r="AA13" s="11">
        <v>0</v>
      </c>
      <c r="AB13" s="4">
        <v>2962.22</v>
      </c>
      <c r="AC13" s="4"/>
      <c r="AD13" s="11">
        <v>190817.62</v>
      </c>
      <c r="AE13" s="4">
        <v>151040.44</v>
      </c>
      <c r="AF13" s="4"/>
      <c r="AG13" s="11">
        <v>190817.62</v>
      </c>
      <c r="AH13" s="4">
        <v>189521.27</v>
      </c>
      <c r="AI13" s="4"/>
      <c r="AJ13" s="11">
        <v>190817.62</v>
      </c>
      <c r="AK13" s="4">
        <v>165295.95000000001</v>
      </c>
      <c r="AL13" s="4">
        <f t="shared" si="0"/>
        <v>-25521.669999999984</v>
      </c>
      <c r="AM13" s="11"/>
      <c r="AN13" s="14">
        <f t="shared" si="1"/>
        <v>1292945.75</v>
      </c>
      <c r="AO13" s="12">
        <f t="shared" si="1"/>
        <v>1284258.7999999998</v>
      </c>
      <c r="AP13" s="15">
        <f t="shared" si="2"/>
        <v>8686.9500000001863</v>
      </c>
      <c r="AQ13" s="12">
        <f t="shared" si="3"/>
        <v>1056779.44</v>
      </c>
      <c r="AR13" s="4">
        <v>108174.95</v>
      </c>
      <c r="AS13" s="4">
        <v>112439</v>
      </c>
      <c r="AT13" s="4">
        <v>-305548.89</v>
      </c>
    </row>
    <row r="14" spans="1:46" x14ac:dyDescent="0.3">
      <c r="A14" s="9" t="s">
        <v>28</v>
      </c>
      <c r="B14" s="10"/>
      <c r="C14" s="11">
        <v>47119.76</v>
      </c>
      <c r="D14" s="4">
        <v>60406.5</v>
      </c>
      <c r="E14" s="4"/>
      <c r="F14" s="11">
        <v>54615.93</v>
      </c>
      <c r="G14" s="4">
        <v>51936.05</v>
      </c>
      <c r="H14" s="4"/>
      <c r="I14" s="11">
        <v>30623.77</v>
      </c>
      <c r="J14" s="4">
        <v>39687.050000000003</v>
      </c>
      <c r="K14" s="4"/>
      <c r="L14" s="11">
        <v>42867.45</v>
      </c>
      <c r="M14" s="4">
        <v>37652.980000000003</v>
      </c>
      <c r="N14" s="4"/>
      <c r="O14" s="11">
        <v>45527.83</v>
      </c>
      <c r="P14" s="4">
        <v>40010.800000000003</v>
      </c>
      <c r="Q14" s="4"/>
      <c r="R14" s="11">
        <v>39995.599999999999</v>
      </c>
      <c r="S14" s="4">
        <v>46458.87</v>
      </c>
      <c r="T14" s="4"/>
      <c r="U14" s="11">
        <v>22063.43</v>
      </c>
      <c r="V14" s="4">
        <v>20511.07</v>
      </c>
      <c r="W14" s="4"/>
      <c r="X14" s="11">
        <v>42453.8</v>
      </c>
      <c r="Y14" s="4">
        <v>43522.37</v>
      </c>
      <c r="Z14" s="4"/>
      <c r="AA14" s="11">
        <v>42575.33</v>
      </c>
      <c r="AB14" s="4">
        <v>38478.61</v>
      </c>
      <c r="AC14" s="4"/>
      <c r="AD14" s="11">
        <v>38173.94</v>
      </c>
      <c r="AE14" s="4">
        <v>41247.699999999997</v>
      </c>
      <c r="AF14" s="4"/>
      <c r="AG14" s="11">
        <v>39883.22</v>
      </c>
      <c r="AH14" s="4">
        <v>44771.97</v>
      </c>
      <c r="AI14" s="4"/>
      <c r="AJ14" s="11">
        <v>41734.94</v>
      </c>
      <c r="AK14" s="4">
        <v>38785.75</v>
      </c>
      <c r="AL14" s="4">
        <f t="shared" si="0"/>
        <v>-2949.1900000000023</v>
      </c>
      <c r="AM14" s="11"/>
      <c r="AN14" s="12">
        <f t="shared" si="1"/>
        <v>487635.00000000006</v>
      </c>
      <c r="AO14" s="12">
        <f t="shared" si="1"/>
        <v>503469.72</v>
      </c>
      <c r="AP14" s="13">
        <f t="shared" si="2"/>
        <v>-15834.719999999914</v>
      </c>
      <c r="AQ14" s="12">
        <f t="shared" si="3"/>
        <v>443063.22</v>
      </c>
      <c r="AR14" s="4"/>
      <c r="AS14" s="4"/>
      <c r="AT14" s="4">
        <f t="shared" si="4"/>
        <v>443063.22</v>
      </c>
    </row>
    <row r="15" spans="1:46" x14ac:dyDescent="0.3">
      <c r="A15" s="9" t="s">
        <v>29</v>
      </c>
      <c r="B15" s="10"/>
      <c r="C15" s="16">
        <v>23599.96</v>
      </c>
      <c r="D15" s="4">
        <v>31861.7</v>
      </c>
      <c r="E15" s="4"/>
      <c r="F15" s="16">
        <v>25356.19</v>
      </c>
      <c r="G15" s="4">
        <v>25388.47</v>
      </c>
      <c r="H15" s="4"/>
      <c r="I15" s="11">
        <v>21815.78</v>
      </c>
      <c r="J15" s="4">
        <v>21810.3</v>
      </c>
      <c r="K15" s="4"/>
      <c r="L15" s="11">
        <v>23452.400000000001</v>
      </c>
      <c r="M15" s="4">
        <v>20731.2</v>
      </c>
      <c r="N15" s="4"/>
      <c r="O15" s="11">
        <v>21480.83</v>
      </c>
      <c r="P15" s="4">
        <v>22916.12</v>
      </c>
      <c r="Q15" s="4"/>
      <c r="R15" s="11">
        <v>12481.89</v>
      </c>
      <c r="S15" s="4">
        <v>28883.13</v>
      </c>
      <c r="T15" s="4"/>
      <c r="U15" s="11">
        <v>10444.48</v>
      </c>
      <c r="V15" s="4">
        <v>11101.92</v>
      </c>
      <c r="W15" s="4"/>
      <c r="X15" s="11">
        <v>25494.55</v>
      </c>
      <c r="Y15" s="4">
        <v>25465.35</v>
      </c>
      <c r="Z15" s="4"/>
      <c r="AA15" s="11">
        <v>25082.7</v>
      </c>
      <c r="AB15" s="4">
        <v>23103.03</v>
      </c>
      <c r="AC15" s="4"/>
      <c r="AD15" s="11">
        <v>23974.65</v>
      </c>
      <c r="AE15" s="4">
        <v>24945.77</v>
      </c>
      <c r="AF15" s="4"/>
      <c r="AG15" s="11">
        <v>24454.57</v>
      </c>
      <c r="AH15" s="4">
        <v>26757.89</v>
      </c>
      <c r="AI15" s="4"/>
      <c r="AJ15" s="11">
        <v>24547.34</v>
      </c>
      <c r="AK15" s="4">
        <v>22684.61</v>
      </c>
      <c r="AL15" s="4">
        <f t="shared" si="0"/>
        <v>-1862.7299999999996</v>
      </c>
      <c r="AM15" s="11"/>
      <c r="AN15" s="12">
        <f t="shared" si="1"/>
        <v>262185.34000000003</v>
      </c>
      <c r="AO15" s="12">
        <f t="shared" si="1"/>
        <v>285649.49</v>
      </c>
      <c r="AP15" s="13">
        <f t="shared" si="2"/>
        <v>-23464.149999999965</v>
      </c>
      <c r="AQ15" s="12">
        <f t="shared" si="3"/>
        <v>253787.78999999998</v>
      </c>
      <c r="AR15" s="4">
        <v>15215.63</v>
      </c>
      <c r="AS15" s="4">
        <v>17236.09</v>
      </c>
      <c r="AT15" s="4">
        <v>-56245.21</v>
      </c>
    </row>
    <row r="16" spans="1:46" x14ac:dyDescent="0.3">
      <c r="A16" s="9" t="s">
        <v>30</v>
      </c>
      <c r="B16" s="10"/>
      <c r="C16" s="17">
        <f t="shared" ref="C16:AP16" si="5">SUM(C4:C15)</f>
        <v>321390.96000000002</v>
      </c>
      <c r="D16" s="17">
        <f t="shared" si="5"/>
        <v>415983</v>
      </c>
      <c r="E16" s="17">
        <f t="shared" si="5"/>
        <v>0</v>
      </c>
      <c r="F16" s="17">
        <f t="shared" si="5"/>
        <v>331235.83</v>
      </c>
      <c r="G16" s="17">
        <f t="shared" si="5"/>
        <v>328113.40000000002</v>
      </c>
      <c r="H16" s="17">
        <f t="shared" si="5"/>
        <v>0</v>
      </c>
      <c r="I16" s="17">
        <f t="shared" si="5"/>
        <v>307560.70000000007</v>
      </c>
      <c r="J16" s="17">
        <f t="shared" si="5"/>
        <v>313052.89999999997</v>
      </c>
      <c r="K16" s="17">
        <f t="shared" si="5"/>
        <v>0</v>
      </c>
      <c r="L16" s="17">
        <f t="shared" si="5"/>
        <v>315429.21000000002</v>
      </c>
      <c r="M16" s="17">
        <f t="shared" si="5"/>
        <v>274578.21999999997</v>
      </c>
      <c r="N16" s="17">
        <f t="shared" si="5"/>
        <v>0</v>
      </c>
      <c r="O16" s="17">
        <f t="shared" si="5"/>
        <v>140511.93</v>
      </c>
      <c r="P16" s="17">
        <f t="shared" si="5"/>
        <v>174737.44</v>
      </c>
      <c r="Q16" s="17">
        <f t="shared" si="5"/>
        <v>0</v>
      </c>
      <c r="R16" s="17">
        <f t="shared" si="5"/>
        <v>125999.92</v>
      </c>
      <c r="S16" s="17">
        <f t="shared" si="5"/>
        <v>196700.12000000002</v>
      </c>
      <c r="T16" s="17">
        <f t="shared" si="5"/>
        <v>0</v>
      </c>
      <c r="U16" s="17">
        <f t="shared" si="5"/>
        <v>106030.34000000001</v>
      </c>
      <c r="V16" s="17">
        <f t="shared" si="5"/>
        <v>104667.65000000001</v>
      </c>
      <c r="W16" s="17">
        <f t="shared" si="5"/>
        <v>0</v>
      </c>
      <c r="X16" s="17">
        <f t="shared" si="5"/>
        <v>141470.78</v>
      </c>
      <c r="Y16" s="17">
        <f t="shared" si="5"/>
        <v>147574.19000000003</v>
      </c>
      <c r="Z16" s="17">
        <f t="shared" si="5"/>
        <v>0</v>
      </c>
      <c r="AA16" s="17">
        <f t="shared" si="5"/>
        <v>148344.32000000001</v>
      </c>
      <c r="AB16" s="17">
        <f t="shared" si="5"/>
        <v>141163.6</v>
      </c>
      <c r="AC16" s="17">
        <f t="shared" si="5"/>
        <v>0</v>
      </c>
      <c r="AD16" s="17">
        <f t="shared" si="5"/>
        <v>333652.50000000006</v>
      </c>
      <c r="AE16" s="17">
        <f t="shared" si="5"/>
        <v>298424.36000000004</v>
      </c>
      <c r="AF16" s="17">
        <f t="shared" si="5"/>
        <v>0</v>
      </c>
      <c r="AG16" s="17">
        <f t="shared" si="5"/>
        <v>335841.7</v>
      </c>
      <c r="AH16" s="17">
        <f t="shared" si="5"/>
        <v>348681.38</v>
      </c>
      <c r="AI16" s="17">
        <f t="shared" si="5"/>
        <v>0</v>
      </c>
      <c r="AJ16" s="17">
        <f t="shared" si="5"/>
        <v>337786.19000000006</v>
      </c>
      <c r="AK16" s="17">
        <f t="shared" si="5"/>
        <v>298729.34999999998</v>
      </c>
      <c r="AL16" s="17">
        <f t="shared" si="5"/>
        <v>-39056.839999999982</v>
      </c>
      <c r="AM16" s="17">
        <f t="shared" si="5"/>
        <v>0</v>
      </c>
      <c r="AN16" s="17">
        <f t="shared" si="5"/>
        <v>2945254.38</v>
      </c>
      <c r="AO16" s="17">
        <f t="shared" si="5"/>
        <v>3042405.6100000003</v>
      </c>
      <c r="AP16" s="17">
        <f t="shared" si="5"/>
        <v>-97151.229999999749</v>
      </c>
      <c r="AQ16" s="18"/>
      <c r="AR16" s="17">
        <f t="shared" ref="AR16:AT16" si="6">SUM(AR4:AR15)</f>
        <v>163014.54999999999</v>
      </c>
      <c r="AS16" s="17">
        <f t="shared" si="6"/>
        <v>171753.28</v>
      </c>
      <c r="AT16" s="17">
        <f t="shared" si="6"/>
        <v>167555.80999999997</v>
      </c>
    </row>
    <row r="18" spans="40:41" x14ac:dyDescent="0.3">
      <c r="AN18" s="3">
        <v>2947854.48</v>
      </c>
      <c r="AO18" s="3">
        <v>3049165.73</v>
      </c>
    </row>
    <row r="19" spans="40:41" x14ac:dyDescent="0.3">
      <c r="AN19" s="3">
        <f>AN18-AN16</f>
        <v>2600.1000000000931</v>
      </c>
      <c r="AO19" s="3">
        <f>AO18-AO16</f>
        <v>6760.1199999996461</v>
      </c>
    </row>
  </sheetData>
  <mergeCells count="14">
    <mergeCell ref="AN2:AP2"/>
    <mergeCell ref="AR2:AT2"/>
    <mergeCell ref="U2:W2"/>
    <mergeCell ref="X2:Z2"/>
    <mergeCell ref="AA2:AC2"/>
    <mergeCell ref="AD2:AF2"/>
    <mergeCell ref="AG2:AI2"/>
    <mergeCell ref="AJ2:AL2"/>
    <mergeCell ref="R2:T2"/>
    <mergeCell ref="C2:E2"/>
    <mergeCell ref="F2:H2"/>
    <mergeCell ref="I2:K2"/>
    <mergeCell ref="L2:N2"/>
    <mergeCell ref="O2:Q2"/>
  </mergeCells>
  <pageMargins left="0.7" right="0.7" top="0.75" bottom="0.75" header="0.3" footer="0.3"/>
  <pageSetup paperSize="9" orientation="portrait" horizontalDpi="180" verticalDpi="180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7030A0"/>
  </sheetPr>
  <dimension ref="A1:I47"/>
  <sheetViews>
    <sheetView tabSelected="1" topLeftCell="A37" zoomScaleNormal="100" workbookViewId="0">
      <selection activeCell="A42" sqref="A42:F42"/>
    </sheetView>
  </sheetViews>
  <sheetFormatPr defaultColWidth="9.109375" defaultRowHeight="14.4" x14ac:dyDescent="0.3"/>
  <cols>
    <col min="1" max="1" width="15.109375" style="56" customWidth="1"/>
    <col min="2" max="2" width="11.5546875" style="56" customWidth="1"/>
    <col min="3" max="3" width="13" style="56" customWidth="1"/>
    <col min="4" max="4" width="19.44140625" style="112" customWidth="1"/>
    <col min="5" max="5" width="16.5546875" style="112" customWidth="1"/>
    <col min="6" max="6" width="15" style="112" customWidth="1"/>
    <col min="7" max="7" width="21.109375" style="112" customWidth="1"/>
    <col min="8" max="8" width="4" style="112" customWidth="1"/>
    <col min="9" max="9" width="11.5546875" style="112" hidden="1" customWidth="1"/>
    <col min="10" max="16384" width="9.109375" style="112"/>
  </cols>
  <sheetData>
    <row r="1" spans="1:9" x14ac:dyDescent="0.3">
      <c r="A1" s="227" t="s">
        <v>139</v>
      </c>
      <c r="B1" s="227"/>
      <c r="C1" s="227"/>
      <c r="D1" s="227"/>
      <c r="E1" s="227"/>
      <c r="F1" s="227"/>
      <c r="G1" s="227"/>
    </row>
    <row r="2" spans="1:9" ht="10.5" customHeight="1" x14ac:dyDescent="0.3">
      <c r="A2" s="169" t="s">
        <v>115</v>
      </c>
      <c r="B2" s="169"/>
      <c r="C2" s="169"/>
      <c r="D2" s="169"/>
      <c r="E2" s="169"/>
      <c r="F2" s="169"/>
      <c r="G2" s="169"/>
    </row>
    <row r="3" spans="1:9" x14ac:dyDescent="0.3">
      <c r="A3" s="21">
        <v>1</v>
      </c>
      <c r="B3" s="25"/>
      <c r="C3" s="170" t="s">
        <v>33</v>
      </c>
      <c r="D3" s="171"/>
      <c r="E3" s="172"/>
      <c r="F3" s="214">
        <v>2010</v>
      </c>
      <c r="G3" s="214"/>
    </row>
    <row r="4" spans="1:9" x14ac:dyDescent="0.3">
      <c r="A4" s="21">
        <v>2</v>
      </c>
      <c r="B4" s="25"/>
      <c r="C4" s="170" t="s">
        <v>35</v>
      </c>
      <c r="D4" s="171"/>
      <c r="E4" s="172"/>
      <c r="F4" s="214">
        <v>9</v>
      </c>
      <c r="G4" s="214"/>
    </row>
    <row r="5" spans="1:9" x14ac:dyDescent="0.3">
      <c r="A5" s="21">
        <v>3</v>
      </c>
      <c r="B5" s="25"/>
      <c r="C5" s="170" t="s">
        <v>36</v>
      </c>
      <c r="D5" s="171"/>
      <c r="E5" s="172"/>
      <c r="F5" s="214">
        <f>B20</f>
        <v>98</v>
      </c>
      <c r="G5" s="214"/>
    </row>
    <row r="6" spans="1:9" ht="15" customHeight="1" x14ac:dyDescent="0.3">
      <c r="A6" s="21">
        <v>4</v>
      </c>
      <c r="B6" s="25"/>
      <c r="C6" s="170" t="s">
        <v>37</v>
      </c>
      <c r="D6" s="171"/>
      <c r="E6" s="172"/>
      <c r="F6" s="215">
        <f>E19</f>
        <v>4889</v>
      </c>
      <c r="G6" s="215"/>
      <c r="H6" s="102"/>
      <c r="I6" s="102"/>
    </row>
    <row r="7" spans="1:9" ht="15" customHeight="1" x14ac:dyDescent="0.3">
      <c r="A7" s="21">
        <v>5</v>
      </c>
      <c r="B7" s="25"/>
      <c r="C7" s="170" t="s">
        <v>38</v>
      </c>
      <c r="D7" s="171"/>
      <c r="E7" s="172"/>
      <c r="F7" s="214">
        <f>37.8+56.4</f>
        <v>94.199999999999989</v>
      </c>
      <c r="G7" s="214"/>
    </row>
    <row r="8" spans="1:9" ht="25.8" customHeight="1" x14ac:dyDescent="0.3">
      <c r="A8" s="21">
        <v>7</v>
      </c>
      <c r="B8" s="25"/>
      <c r="C8" s="174" t="s">
        <v>40</v>
      </c>
      <c r="D8" s="175"/>
      <c r="E8" s="176"/>
      <c r="F8" s="177" t="s">
        <v>41</v>
      </c>
      <c r="G8" s="178"/>
    </row>
    <row r="9" spans="1:9" x14ac:dyDescent="0.3">
      <c r="A9" s="21">
        <v>8</v>
      </c>
      <c r="B9" s="25"/>
      <c r="C9" s="170" t="s">
        <v>42</v>
      </c>
      <c r="D9" s="171"/>
      <c r="E9" s="172"/>
      <c r="F9" s="170" t="s">
        <v>43</v>
      </c>
      <c r="G9" s="172"/>
    </row>
    <row r="10" spans="1:9" x14ac:dyDescent="0.3">
      <c r="A10" s="21">
        <v>9</v>
      </c>
      <c r="B10" s="25"/>
      <c r="C10" s="170" t="s">
        <v>44</v>
      </c>
      <c r="D10" s="171"/>
      <c r="E10" s="172"/>
      <c r="F10" s="180" t="s">
        <v>43</v>
      </c>
      <c r="G10" s="180"/>
    </row>
    <row r="11" spans="1:9" ht="26.4" customHeight="1" x14ac:dyDescent="0.3">
      <c r="A11" s="21">
        <v>10</v>
      </c>
      <c r="B11" s="25"/>
      <c r="C11" s="170" t="s">
        <v>45</v>
      </c>
      <c r="D11" s="171"/>
      <c r="E11" s="172"/>
      <c r="F11" s="180" t="s">
        <v>43</v>
      </c>
      <c r="G11" s="180"/>
    </row>
    <row r="12" spans="1:9" ht="15.6" customHeight="1" x14ac:dyDescent="0.3">
      <c r="A12" s="21">
        <v>11</v>
      </c>
      <c r="B12" s="25"/>
      <c r="C12" s="174" t="s">
        <v>46</v>
      </c>
      <c r="D12" s="175"/>
      <c r="E12" s="176"/>
      <c r="F12" s="177" t="s">
        <v>47</v>
      </c>
      <c r="G12" s="178"/>
    </row>
    <row r="13" spans="1:9" ht="51" customHeight="1" x14ac:dyDescent="0.3">
      <c r="A13" s="21">
        <v>12</v>
      </c>
      <c r="B13" s="25"/>
      <c r="C13" s="174" t="s">
        <v>48</v>
      </c>
      <c r="D13" s="175"/>
      <c r="E13" s="176"/>
      <c r="F13" s="181" t="s">
        <v>49</v>
      </c>
      <c r="G13" s="182"/>
    </row>
    <row r="14" spans="1:9" s="114" customFormat="1" ht="15" customHeight="1" x14ac:dyDescent="0.25">
      <c r="A14" s="221" t="s">
        <v>57</v>
      </c>
      <c r="B14" s="221"/>
      <c r="C14" s="184"/>
      <c r="D14" s="184"/>
      <c r="E14" s="184"/>
      <c r="F14" s="184"/>
      <c r="G14" s="184"/>
    </row>
    <row r="15" spans="1:9" s="114" customFormat="1" ht="15" customHeight="1" x14ac:dyDescent="0.25">
      <c r="A15" s="222" t="s">
        <v>58</v>
      </c>
      <c r="B15" s="222"/>
      <c r="C15" s="184"/>
      <c r="D15" s="184"/>
      <c r="E15" s="184"/>
      <c r="F15" s="184"/>
      <c r="G15" s="184"/>
    </row>
    <row r="16" spans="1:9" s="114" customFormat="1" ht="24.75" customHeight="1" x14ac:dyDescent="0.25">
      <c r="A16" s="223" t="s">
        <v>132</v>
      </c>
      <c r="B16" s="223"/>
      <c r="C16" s="184"/>
      <c r="D16" s="184"/>
      <c r="E16" s="184"/>
      <c r="F16" s="184"/>
      <c r="G16" s="184"/>
    </row>
    <row r="17" spans="1:8" s="114" customFormat="1" ht="13.8" x14ac:dyDescent="0.25">
      <c r="A17" s="224" t="s">
        <v>60</v>
      </c>
      <c r="B17" s="224"/>
      <c r="C17" s="184"/>
      <c r="D17" s="184"/>
      <c r="E17" s="184"/>
      <c r="F17" s="184"/>
      <c r="G17" s="121"/>
    </row>
    <row r="18" spans="1:8" s="114" customFormat="1" ht="13.8" x14ac:dyDescent="0.25">
      <c r="A18" s="125" t="s">
        <v>131</v>
      </c>
      <c r="B18" s="122"/>
      <c r="C18" s="123"/>
      <c r="D18" s="121"/>
      <c r="E18" s="124"/>
      <c r="F18" s="121"/>
      <c r="G18" s="121"/>
    </row>
    <row r="19" spans="1:8" s="114" customFormat="1" ht="13.8" x14ac:dyDescent="0.25">
      <c r="A19" s="122" t="s">
        <v>125</v>
      </c>
      <c r="B19" s="122"/>
      <c r="C19" s="123"/>
      <c r="D19" s="121"/>
      <c r="E19" s="148">
        <v>4889</v>
      </c>
      <c r="F19" s="121"/>
      <c r="G19" s="121"/>
    </row>
    <row r="20" spans="1:8" s="114" customFormat="1" ht="13.8" x14ac:dyDescent="0.25">
      <c r="A20" s="122" t="s">
        <v>126</v>
      </c>
      <c r="B20" s="122">
        <v>98</v>
      </c>
      <c r="C20" s="123"/>
      <c r="D20" s="121"/>
      <c r="E20" s="124"/>
      <c r="F20" s="121"/>
      <c r="G20" s="121"/>
    </row>
    <row r="21" spans="1:8" s="114" customFormat="1" ht="13.8" x14ac:dyDescent="0.25">
      <c r="A21" s="122" t="s">
        <v>128</v>
      </c>
      <c r="B21" s="122"/>
      <c r="C21" s="123"/>
      <c r="D21" s="121"/>
      <c r="E21" s="124"/>
      <c r="F21" s="121"/>
      <c r="G21" s="121"/>
    </row>
    <row r="22" spans="1:8" s="114" customFormat="1" ht="22.5" customHeight="1" x14ac:dyDescent="0.25">
      <c r="A22" s="225" t="s">
        <v>65</v>
      </c>
      <c r="B22" s="225"/>
      <c r="C22" s="226"/>
      <c r="D22" s="226"/>
      <c r="E22" s="226"/>
      <c r="F22" s="226"/>
      <c r="G22" s="226"/>
    </row>
    <row r="23" spans="1:8" s="113" customFormat="1" ht="60.75" customHeight="1" x14ac:dyDescent="0.3">
      <c r="A23" s="115" t="s">
        <v>133</v>
      </c>
      <c r="B23" s="116" t="s">
        <v>124</v>
      </c>
      <c r="C23" s="117" t="s">
        <v>134</v>
      </c>
      <c r="D23" s="117" t="s">
        <v>135</v>
      </c>
      <c r="E23" s="115" t="s">
        <v>69</v>
      </c>
      <c r="F23" s="118" t="s">
        <v>136</v>
      </c>
      <c r="G23" s="119" t="s">
        <v>71</v>
      </c>
    </row>
    <row r="24" spans="1:8" s="114" customFormat="1" ht="27.6" x14ac:dyDescent="0.25">
      <c r="A24" s="134">
        <v>135062.41999999993</v>
      </c>
      <c r="B24" s="131">
        <v>7.12</v>
      </c>
      <c r="C24" s="132">
        <v>473561.4</v>
      </c>
      <c r="D24" s="132">
        <v>451635.77</v>
      </c>
      <c r="E24" s="133">
        <f>C24</f>
        <v>473561.4</v>
      </c>
      <c r="F24" s="134">
        <f>A24+C24-D24</f>
        <v>156988.04999999993</v>
      </c>
      <c r="G24" s="135" t="s">
        <v>98</v>
      </c>
    </row>
    <row r="25" spans="1:8" s="114" customFormat="1" ht="18" customHeight="1" x14ac:dyDescent="0.25">
      <c r="A25" s="134">
        <v>37920.51999999999</v>
      </c>
      <c r="B25" s="131">
        <v>3.15</v>
      </c>
      <c r="C25" s="132">
        <v>199856.28</v>
      </c>
      <c r="D25" s="132">
        <v>191335.23</v>
      </c>
      <c r="E25" s="133">
        <f t="shared" ref="E25:E28" si="0">C25</f>
        <v>199856.28</v>
      </c>
      <c r="F25" s="134">
        <f t="shared" ref="F25:F27" si="1">A25+C25-D25</f>
        <v>46441.569999999978</v>
      </c>
      <c r="G25" s="135" t="s">
        <v>73</v>
      </c>
    </row>
    <row r="26" spans="1:8" s="114" customFormat="1" ht="55.2" x14ac:dyDescent="0.25">
      <c r="A26" s="134">
        <v>64708.159999999974</v>
      </c>
      <c r="B26" s="136">
        <v>4.5999999999999996</v>
      </c>
      <c r="C26" s="132">
        <v>269436.71999999997</v>
      </c>
      <c r="D26" s="132">
        <v>253384.16</v>
      </c>
      <c r="E26" s="133">
        <f t="shared" si="0"/>
        <v>269436.71999999997</v>
      </c>
      <c r="F26" s="134">
        <f t="shared" si="1"/>
        <v>80760.719999999943</v>
      </c>
      <c r="G26" s="135" t="s">
        <v>74</v>
      </c>
    </row>
    <row r="27" spans="1:8" s="114" customFormat="1" ht="27.6" x14ac:dyDescent="0.25">
      <c r="A27" s="138">
        <v>34256.660000000003</v>
      </c>
      <c r="B27" s="131">
        <v>1.48</v>
      </c>
      <c r="C27" s="132">
        <v>86688.960000000006</v>
      </c>
      <c r="D27" s="132">
        <v>78514.080000000002</v>
      </c>
      <c r="E27" s="137">
        <f>E38</f>
        <v>111903.07</v>
      </c>
      <c r="F27" s="138">
        <f t="shared" si="1"/>
        <v>42431.540000000008</v>
      </c>
      <c r="G27" s="135" t="s">
        <v>75</v>
      </c>
    </row>
    <row r="28" spans="1:8" s="114" customFormat="1" ht="27.6" x14ac:dyDescent="0.25">
      <c r="A28" s="138">
        <v>-386.52999999999884</v>
      </c>
      <c r="B28" s="139" t="s">
        <v>129</v>
      </c>
      <c r="C28" s="132">
        <v>130680</v>
      </c>
      <c r="D28" s="132">
        <v>123986.82</v>
      </c>
      <c r="E28" s="133">
        <f t="shared" si="0"/>
        <v>130680</v>
      </c>
      <c r="F28" s="138">
        <f>A28+C28-D28</f>
        <v>6306.6499999999942</v>
      </c>
      <c r="G28" s="140" t="s">
        <v>101</v>
      </c>
    </row>
    <row r="29" spans="1:8" s="114" customFormat="1" ht="13.8" x14ac:dyDescent="0.25">
      <c r="A29" s="141">
        <f>SUM(A24:A28)</f>
        <v>271561.22999999986</v>
      </c>
      <c r="B29" s="141"/>
      <c r="C29" s="141">
        <f t="shared" ref="C29:F29" si="2">SUM(C24:C28)</f>
        <v>1160223.3599999999</v>
      </c>
      <c r="D29" s="141">
        <f t="shared" si="2"/>
        <v>1098856.06</v>
      </c>
      <c r="E29" s="141">
        <f t="shared" si="2"/>
        <v>1185437.47</v>
      </c>
      <c r="F29" s="141">
        <f t="shared" si="2"/>
        <v>332928.52999999991</v>
      </c>
      <c r="G29" s="142" t="s">
        <v>13</v>
      </c>
      <c r="H29" s="146"/>
    </row>
    <row r="30" spans="1:8" s="114" customFormat="1" ht="13.8" x14ac:dyDescent="0.25">
      <c r="A30" s="218" t="s">
        <v>78</v>
      </c>
      <c r="B30" s="218"/>
      <c r="C30" s="219"/>
      <c r="D30" s="219"/>
      <c r="E30" s="219"/>
      <c r="F30" s="219"/>
      <c r="G30" s="122"/>
    </row>
    <row r="31" spans="1:8" s="129" customFormat="1" ht="71.400000000000006" customHeight="1" x14ac:dyDescent="0.3">
      <c r="A31" s="126" t="s">
        <v>133</v>
      </c>
      <c r="B31" s="126"/>
      <c r="C31" s="117" t="s">
        <v>134</v>
      </c>
      <c r="D31" s="117" t="s">
        <v>135</v>
      </c>
      <c r="E31" s="115" t="s">
        <v>69</v>
      </c>
      <c r="F31" s="118" t="s">
        <v>136</v>
      </c>
      <c r="G31" s="128" t="s">
        <v>79</v>
      </c>
    </row>
    <row r="32" spans="1:8" s="114" customFormat="1" ht="27.6" x14ac:dyDescent="0.25">
      <c r="A32" s="134">
        <v>18585.829999999958</v>
      </c>
      <c r="B32" s="130"/>
      <c r="C32" s="130">
        <v>321451.28000000003</v>
      </c>
      <c r="D32" s="130">
        <f>295004.45+7030.8</f>
        <v>302035.25</v>
      </c>
      <c r="E32" s="133">
        <f t="shared" ref="E32:E33" si="3">C32</f>
        <v>321451.28000000003</v>
      </c>
      <c r="F32" s="134">
        <f t="shared" ref="F32:F33" si="4">A32+C32-D32</f>
        <v>38001.859999999986</v>
      </c>
      <c r="G32" s="135" t="s">
        <v>80</v>
      </c>
    </row>
    <row r="33" spans="1:8" s="114" customFormat="1" ht="44.4" customHeight="1" x14ac:dyDescent="0.25">
      <c r="A33" s="134">
        <v>81463.040000000037</v>
      </c>
      <c r="B33" s="130"/>
      <c r="C33" s="130">
        <v>810439.10900000005</v>
      </c>
      <c r="D33" s="130">
        <v>791674.89</v>
      </c>
      <c r="E33" s="133">
        <f t="shared" si="3"/>
        <v>810439.10900000005</v>
      </c>
      <c r="F33" s="134">
        <f t="shared" si="4"/>
        <v>100227.25900000008</v>
      </c>
      <c r="G33" s="135" t="s">
        <v>83</v>
      </c>
    </row>
    <row r="34" spans="1:8" s="114" customFormat="1" ht="17.399999999999999" customHeight="1" x14ac:dyDescent="0.25">
      <c r="A34" s="141">
        <f>SUM(A32:A33)</f>
        <v>100048.87</v>
      </c>
      <c r="B34" s="141"/>
      <c r="C34" s="141">
        <f t="shared" ref="C34:F34" si="5">SUM(C32:C33)</f>
        <v>1131890.389</v>
      </c>
      <c r="D34" s="141">
        <f t="shared" si="5"/>
        <v>1093710.1400000001</v>
      </c>
      <c r="E34" s="141">
        <f t="shared" si="5"/>
        <v>1131890.389</v>
      </c>
      <c r="F34" s="141">
        <f t="shared" si="5"/>
        <v>138229.11900000006</v>
      </c>
      <c r="G34" s="142" t="s">
        <v>13</v>
      </c>
      <c r="H34" s="146"/>
    </row>
    <row r="35" spans="1:8" s="122" customFormat="1" ht="13.8" x14ac:dyDescent="0.25">
      <c r="A35" s="220" t="s">
        <v>84</v>
      </c>
      <c r="B35" s="220"/>
      <c r="C35" s="184"/>
      <c r="D35" s="184"/>
      <c r="E35" s="184"/>
      <c r="F35" s="184"/>
      <c r="G35" s="184"/>
    </row>
    <row r="36" spans="1:8" s="122" customFormat="1" ht="13.8" x14ac:dyDescent="0.25">
      <c r="A36" s="184"/>
      <c r="B36" s="184"/>
      <c r="C36" s="184"/>
      <c r="D36" s="184"/>
      <c r="E36" s="184"/>
      <c r="F36" s="184"/>
      <c r="G36" s="184"/>
    </row>
    <row r="37" spans="1:8" s="122" customFormat="1" ht="64.2" customHeight="1" x14ac:dyDescent="0.25">
      <c r="A37" s="126" t="s">
        <v>85</v>
      </c>
      <c r="B37" s="143" t="s">
        <v>137</v>
      </c>
      <c r="C37" s="127" t="s">
        <v>130</v>
      </c>
      <c r="D37" s="127" t="s">
        <v>87</v>
      </c>
      <c r="E37" s="127" t="s">
        <v>88</v>
      </c>
      <c r="F37" s="143" t="s">
        <v>138</v>
      </c>
    </row>
    <row r="38" spans="1:8" s="125" customFormat="1" ht="17.399999999999999" customHeight="1" x14ac:dyDescent="0.25">
      <c r="A38" s="144"/>
      <c r="B38" s="160">
        <v>168956.5400000001</v>
      </c>
      <c r="C38" s="147"/>
      <c r="D38" s="145" t="s">
        <v>127</v>
      </c>
      <c r="E38" s="159">
        <f>E39+E40+E41</f>
        <v>111903.07</v>
      </c>
      <c r="F38" s="160">
        <f>B38+D27-E38</f>
        <v>135567.5500000001</v>
      </c>
    </row>
    <row r="39" spans="1:8" s="153" customFormat="1" ht="26.4" x14ac:dyDescent="0.25">
      <c r="A39" s="149"/>
      <c r="B39" s="150"/>
      <c r="C39" s="151"/>
      <c r="D39" s="162" t="s">
        <v>140</v>
      </c>
      <c r="E39" s="163">
        <v>70585.570000000007</v>
      </c>
      <c r="F39" s="152"/>
    </row>
    <row r="40" spans="1:8" s="158" customFormat="1" ht="39.6" x14ac:dyDescent="0.25">
      <c r="A40" s="154"/>
      <c r="B40" s="155"/>
      <c r="C40" s="156"/>
      <c r="D40" s="162" t="s">
        <v>141</v>
      </c>
      <c r="E40" s="163">
        <v>39000</v>
      </c>
      <c r="F40" s="157"/>
    </row>
    <row r="41" spans="1:8" s="158" customFormat="1" ht="49.2" customHeight="1" x14ac:dyDescent="0.25">
      <c r="A41" s="154"/>
      <c r="B41" s="154"/>
      <c r="C41" s="154"/>
      <c r="D41" s="164" t="s">
        <v>142</v>
      </c>
      <c r="E41" s="161">
        <v>2317.5</v>
      </c>
      <c r="F41" s="120"/>
    </row>
    <row r="42" spans="1:8" s="165" customFormat="1" ht="35.4" customHeight="1" x14ac:dyDescent="0.25">
      <c r="A42" s="228" t="s">
        <v>146</v>
      </c>
      <c r="B42" s="228"/>
      <c r="C42" s="228"/>
      <c r="D42" s="228"/>
      <c r="E42" s="228"/>
      <c r="F42" s="228"/>
    </row>
    <row r="43" spans="1:8" s="166" customFormat="1" ht="101.4" customHeight="1" x14ac:dyDescent="0.3">
      <c r="A43" s="216" t="s">
        <v>143</v>
      </c>
      <c r="B43" s="216"/>
      <c r="C43" s="216"/>
      <c r="D43" s="216"/>
      <c r="E43" s="216"/>
      <c r="F43" s="216"/>
      <c r="G43" s="216"/>
    </row>
    <row r="44" spans="1:8" s="166" customFormat="1" ht="37.799999999999997" customHeight="1" x14ac:dyDescent="0.3">
      <c r="A44" s="217" t="s">
        <v>144</v>
      </c>
      <c r="B44" s="217"/>
      <c r="C44" s="217"/>
      <c r="D44" s="217"/>
      <c r="E44" s="217"/>
      <c r="F44" s="217"/>
      <c r="G44" s="217"/>
    </row>
    <row r="45" spans="1:8" s="166" customFormat="1" ht="12" customHeight="1" x14ac:dyDescent="0.3">
      <c r="A45" s="167"/>
      <c r="B45" s="167"/>
      <c r="C45" s="167"/>
      <c r="D45" s="166" t="s">
        <v>145</v>
      </c>
    </row>
    <row r="46" spans="1:8" s="166" customFormat="1" x14ac:dyDescent="0.3">
      <c r="A46" s="167"/>
      <c r="B46" s="167"/>
      <c r="C46" s="167"/>
    </row>
    <row r="47" spans="1:8" s="166" customFormat="1" x14ac:dyDescent="0.3">
      <c r="A47" s="56"/>
      <c r="B47" s="56"/>
      <c r="C47" s="56"/>
      <c r="D47" s="112"/>
      <c r="E47" s="112"/>
      <c r="F47" s="112"/>
      <c r="G47" s="112"/>
    </row>
  </sheetData>
  <mergeCells count="34">
    <mergeCell ref="A1:G1"/>
    <mergeCell ref="A2:G2"/>
    <mergeCell ref="C3:E3"/>
    <mergeCell ref="F3:G3"/>
    <mergeCell ref="C4:E4"/>
    <mergeCell ref="F4:G4"/>
    <mergeCell ref="C5:E5"/>
    <mergeCell ref="F5:G5"/>
    <mergeCell ref="C6:E6"/>
    <mergeCell ref="F6:G6"/>
    <mergeCell ref="C7:E7"/>
    <mergeCell ref="F7:G7"/>
    <mergeCell ref="C8:E8"/>
    <mergeCell ref="F8:G8"/>
    <mergeCell ref="C9:E9"/>
    <mergeCell ref="F9:G9"/>
    <mergeCell ref="C13:E13"/>
    <mergeCell ref="F13:G13"/>
    <mergeCell ref="C10:E10"/>
    <mergeCell ref="F10:G10"/>
    <mergeCell ref="C11:E11"/>
    <mergeCell ref="F11:G11"/>
    <mergeCell ref="C12:E12"/>
    <mergeCell ref="F12:G12"/>
    <mergeCell ref="A14:G14"/>
    <mergeCell ref="A15:G15"/>
    <mergeCell ref="A16:G16"/>
    <mergeCell ref="A17:F17"/>
    <mergeCell ref="A22:G22"/>
    <mergeCell ref="A42:F42"/>
    <mergeCell ref="A43:G43"/>
    <mergeCell ref="A44:G44"/>
    <mergeCell ref="A30:F30"/>
    <mergeCell ref="A35:G36"/>
  </mergeCells>
  <pageMargins left="0.19685039370078741" right="0.11811023622047245" top="0.74803149606299213" bottom="0" header="0.31496062992125984" footer="0.31496062992125984"/>
  <pageSetup paperSize="9" scale="83" orientation="portrait" horizontalDpi="180" verticalDpi="180" r:id="rId1"/>
  <rowBreaks count="1" manualBreakCount="1">
    <brk id="13" max="7" man="1"/>
  </rowBreaks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1</vt:i4>
      </vt:variant>
    </vt:vector>
  </HeadingPairs>
  <TitlesOfParts>
    <vt:vector size="7" baseType="lpstr">
      <vt:lpstr>2014</vt:lpstr>
      <vt:lpstr>2015</vt:lpstr>
      <vt:lpstr>2015 с пров</vt:lpstr>
      <vt:lpstr> Г Поп к3 1 2015</vt:lpstr>
      <vt:lpstr>2018</vt:lpstr>
      <vt:lpstr>Лист1</vt:lpstr>
      <vt:lpstr>'2018'!Область_печати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2019-03-22T07:07:47Z</dcterms:modified>
</cp:coreProperties>
</file>